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3" sheetId="1" r:id="rId5"/>
    <sheet name="прил. 4" sheetId="6" r:id="rId6"/>
    <sheet name="прил.5" sheetId="5" r:id="rId7"/>
  </sheets>
  <definedNames>
    <definedName name="sub_3870" localSheetId="3">'КВР'!$A$43</definedName>
    <definedName name="Код_КВР">'КВР'!$A$2:$A$43</definedName>
    <definedName name="Код_КЦСР">'КЦСР'!$A$2:$A$353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'КВР'!$A$1:$B$23</definedName>
    <definedName name="_xlnm.Print_Area" localSheetId="5">'прил. 4'!$A$1:$R$1678</definedName>
    <definedName name="_xlnm.Print_Area" localSheetId="4">'прил.3'!$A$1:$P$67</definedName>
    <definedName name="_xlnm.Print_Area" localSheetId="6">'прил.5'!$A$1:$S$1633</definedName>
    <definedName name="_xlnm.Print_Titles" localSheetId="4">'прил.3'!$17:$18</definedName>
    <definedName name="_xlnm.Print_Titles" localSheetId="5">'прил. 4'!$17:$17</definedName>
    <definedName name="_xlnm.Print_Titles" localSheetId="6">'прил.5'!$20:$20</definedName>
  </definedNames>
  <calcPr calcId="125725"/>
</workbook>
</file>

<file path=xl/sharedStrings.xml><?xml version="1.0" encoding="utf-8"?>
<sst xmlns="http://schemas.openxmlformats.org/spreadsheetml/2006/main" count="10064" uniqueCount="690">
  <si>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</si>
  <si>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</si>
  <si>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</si>
  <si>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</si>
  <si>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</si>
  <si>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</si>
  <si>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</si>
  <si>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</si>
  <si>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</si>
  <si>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</si>
  <si>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</si>
  <si>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</si>
  <si>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</si>
  <si>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</si>
  <si>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</si>
  <si>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</si>
  <si>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</si>
  <si>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</si>
  <si>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</si>
  <si>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</si>
  <si>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</si>
  <si>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</si>
  <si>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</si>
  <si>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</si>
  <si>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</si>
  <si>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</si>
  <si>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</si>
  <si>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</si>
  <si>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</si>
  <si>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</si>
  <si>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</si>
  <si>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</si>
  <si>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</si>
  <si>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</si>
  <si>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</si>
  <si>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</si>
  <si>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</si>
  <si>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</si>
  <si>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</si>
  <si>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</si>
  <si>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</si>
  <si>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</si>
  <si>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</si>
  <si>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</si>
  <si>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</si>
  <si>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</si>
  <si>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</si>
  <si>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</si>
  <si>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</si>
  <si>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</si>
  <si>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</si>
  <si>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</si>
  <si>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</si>
  <si>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</si>
  <si>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</si>
  <si>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</si>
  <si>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</si>
  <si>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</si>
  <si>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</si>
  <si>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</si>
  <si>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</si>
  <si>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</si>
  <si>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</si>
  <si>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</si>
  <si>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</si>
  <si>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</si>
  <si>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</si>
  <si>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</si>
  <si>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</si>
  <si>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</si>
  <si>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</si>
  <si>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</si>
  <si>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</si>
  <si>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</si>
  <si>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</si>
  <si>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</si>
  <si>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</si>
  <si>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</si>
  <si>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</si>
  <si>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</si>
  <si>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</si>
  <si>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</si>
  <si>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</si>
  <si>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</si>
  <si>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</si>
  <si>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</si>
  <si>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</si>
  <si>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</si>
  <si>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</si>
  <si>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</si>
  <si>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</si>
  <si>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</si>
  <si>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</si>
  <si>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</si>
  <si>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</si>
  <si>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</si>
  <si>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</si>
  <si>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</si>
  <si>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</si>
  <si>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</si>
  <si>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</si>
  <si>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</si>
  <si>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</si>
  <si>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</si>
  <si>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</si>
  <si>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</si>
  <si>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</si>
  <si>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</si>
  <si>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</si>
  <si>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</si>
  <si>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</si>
  <si>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</si>
  <si>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</si>
  <si>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от 10.12.2013 № 234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</si>
  <si>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</si>
  <si>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</si>
  <si>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</si>
  <si>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</si>
  <si>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</si>
  <si>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</si>
  <si>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</si>
  <si>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</si>
  <si>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</si>
  <si>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</si>
  <si>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</si>
  <si>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</si>
  <si>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</si>
  <si>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</si>
  <si>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</si>
  <si>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</si>
  <si>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</si>
  <si>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</si>
  <si>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</si>
  <si>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</si>
  <si>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</si>
  <si>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</si>
  <si>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</si>
  <si>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</si>
  <si>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</si>
  <si>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</si>
  <si>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</si>
  <si>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</si>
  <si>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</si>
  <si>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</si>
  <si>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</si>
  <si>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</si>
  <si>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</si>
  <si>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</si>
  <si>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</si>
  <si>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</si>
  <si>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</si>
  <si>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</si>
  <si>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</si>
  <si>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</si>
  <si>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</si>
  <si>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</si>
  <si>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</si>
  <si>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</si>
  <si>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</si>
  <si>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</si>
  <si>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</si>
  <si>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</si>
  <si>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</si>
  <si>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</si>
  <si>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</si>
  <si>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</si>
  <si>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</si>
  <si>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</si>
  <si>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</si>
  <si>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</si>
  <si>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</si>
  <si>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</si>
  <si>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</si>
  <si>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</si>
  <si>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</si>
  <si>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</si>
  <si>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</si>
  <si>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</si>
  <si>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</si>
  <si>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</si>
  <si>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</si>
  <si>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</si>
  <si>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</si>
  <si>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</si>
  <si>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</si>
  <si>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</si>
  <si>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</si>
  <si>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</si>
  <si>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</si>
  <si>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</si>
  <si>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</si>
  <si>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</si>
  <si>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</si>
  <si>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</si>
  <si>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</si>
  <si>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</si>
  <si>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</si>
  <si>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</si>
  <si>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</si>
  <si>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</si>
  <si>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</si>
  <si>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</si>
  <si>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</si>
  <si>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</si>
  <si>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</si>
  <si>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</si>
  <si>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</si>
  <si>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</si>
  <si>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</si>
  <si>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</si>
  <si>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</si>
  <si>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</si>
  <si>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</si>
  <si>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</si>
  <si>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</si>
  <si>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</si>
  <si>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</si>
  <si>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</si>
  <si>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</si>
  <si>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</si>
  <si>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</si>
  <si>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</si>
  <si>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</si>
  <si>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</si>
  <si>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</si>
  <si>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</si>
  <si>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</si>
  <si>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</si>
  <si>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</si>
  <si>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</si>
  <si>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</si>
  <si>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</si>
  <si>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</si>
  <si>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</si>
  <si>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</si>
  <si>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</si>
  <si>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</si>
  <si>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</si>
  <si>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</si>
  <si>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</si>
  <si>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</si>
  <si>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</si>
  <si>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</si>
  <si>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</si>
  <si>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</si>
  <si>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</si>
  <si>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</si>
  <si>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</si>
  <si>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</si>
  <si>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</si>
  <si>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</si>
  <si>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</si>
  <si>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</si>
  <si>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</si>
  <si>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</si>
  <si>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</si>
  <si>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</si>
  <si>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</si>
  <si>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</si>
  <si>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</si>
  <si>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</si>
  <si>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</si>
  <si>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</si>
  <si>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</si>
  <si>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</si>
  <si>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</si>
  <si>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</si>
  <si>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</si>
  <si>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</si>
  <si>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</si>
  <si>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</si>
  <si>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</si>
  <si>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</si>
  <si>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</si>
  <si>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</si>
  <si>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</si>
  <si>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</si>
  <si>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</si>
  <si>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</si>
  <si>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</si>
  <si>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</si>
  <si>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</si>
  <si>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</si>
  <si>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</si>
  <si>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</si>
  <si>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</si>
  <si>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</si>
  <si>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</si>
  <si>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</si>
  <si>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</si>
  <si>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</si>
  <si>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</si>
  <si>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</si>
  <si>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</si>
  <si>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</si>
  <si>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</si>
  <si>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</si>
  <si>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</si>
  <si>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</si>
  <si>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</si>
  <si>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</si>
  <si>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</si>
  <si>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</si>
  <si>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</si>
  <si>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</si>
  <si>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</si>
  <si>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</si>
  <si>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</si>
  <si>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</si>
  <si>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</si>
  <si>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</si>
  <si>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</si>
  <si>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</si>
  <si>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</si>
  <si>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</si>
  <si>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</si>
  <si>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</si>
  <si>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</si>
  <si>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</si>
  <si>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</si>
  <si>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</si>
  <si>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</si>
  <si>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</si>
  <si>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</si>
  <si>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</si>
  <si>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</si>
  <si>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</si>
  <si>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</si>
  <si>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</si>
  <si>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</si>
  <si>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</si>
  <si>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</si>
  <si>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</si>
  <si>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</si>
  <si>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</si>
  <si>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</si>
  <si>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</si>
  <si>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</si>
  <si>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</si>
  <si>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</si>
  <si>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</si>
  <si>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</si>
  <si>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</si>
  <si>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</si>
  <si>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</si>
  <si>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</si>
  <si>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</si>
  <si>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</si>
  <si>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</si>
  <si>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</si>
  <si>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</si>
  <si>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</si>
  <si>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</si>
  <si>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</si>
  <si>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</si>
  <si>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</si>
  <si>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</si>
  <si>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</si>
  <si>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</si>
  <si>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</si>
  <si>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</si>
  <si>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</si>
  <si>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</si>
  <si>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</si>
  <si>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</si>
  <si>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</si>
  <si>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</si>
  <si>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</si>
  <si>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</si>
  <si>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</si>
  <si>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</si>
  <si>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</si>
  <si>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</si>
  <si>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</si>
  <si>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</si>
  <si>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</si>
  <si>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</si>
  <si>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</si>
  <si>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</si>
  <si>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</si>
  <si>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</si>
  <si>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</si>
  <si>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</si>
  <si>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</si>
  <si>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</si>
  <si>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</si>
  <si>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</si>
  <si>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</si>
  <si>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</si>
  <si>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</si>
  <si>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</si>
  <si>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</si>
  <si>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</si>
  <si>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</si>
  <si>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</si>
  <si>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</si>
  <si>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</si>
  <si>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</si>
  <si>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</si>
  <si>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</si>
  <si>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</si>
  <si>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</si>
  <si>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</si>
  <si>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</si>
  <si>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</si>
  <si>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</si>
  <si>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</si>
  <si>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</si>
  <si>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</si>
  <si>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</si>
  <si>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</si>
  <si>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</si>
  <si>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</si>
  <si>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</si>
  <si>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</si>
  <si>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</si>
  <si>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</si>
  <si>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</si>
  <si>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</si>
  <si>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</si>
  <si>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</si>
  <si>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</si>
  <si>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</si>
  <si>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</si>
  <si>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</si>
  <si>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</si>
  <si>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</si>
  <si>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</si>
  <si>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</si>
  <si>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</si>
  <si>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</si>
  <si>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</si>
  <si>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</si>
  <si>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</si>
  <si>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</si>
  <si>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</si>
  <si>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</si>
  <si>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</si>
  <si>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</si>
  <si>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</si>
  <si>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</si>
  <si>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</si>
  <si>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</si>
  <si>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</si>
  <si>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</si>
  <si>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</si>
  <si>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</si>
  <si>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</si>
  <si>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</si>
  <si>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</si>
  <si>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</si>
  <si>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</si>
  <si>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</si>
  <si>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</si>
  <si>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</si>
  <si>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</si>
  <si>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</si>
  <si>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</si>
  <si>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</si>
  <si>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</si>
  <si>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</si>
  <si>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</si>
  <si>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</si>
  <si>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</si>
  <si>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</si>
  <si>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</si>
  <si>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</si>
  <si>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</si>
  <si>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</si>
  <si>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</si>
  <si>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</si>
  <si>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</si>
  <si>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</si>
  <si>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</si>
  <si>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</si>
  <si>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</si>
  <si>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</si>
  <si>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</si>
  <si>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</si>
  <si>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</si>
  <si>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</si>
  <si>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</si>
  <si>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</si>
  <si>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</si>
  <si>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</si>
  <si>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</si>
  <si>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</si>
  <si>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</si>
  <si>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</si>
  <si>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</si>
  <si>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</si>
  <si>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</si>
  <si>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</si>
  <si>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</si>
  <si>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</si>
  <si>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</si>
  <si>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</si>
  <si>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</si>
  <si>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</si>
  <si>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</si>
  <si>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</si>
  <si>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</si>
  <si>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</si>
  <si>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</si>
  <si>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</si>
  <si>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</si>
  <si>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</si>
  <si>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</si>
  <si>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</si>
  <si>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</si>
  <si>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</si>
  <si>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</si>
  <si>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</si>
  <si>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</si>
  <si>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</si>
  <si>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</si>
  <si>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</si>
  <si>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</si>
  <si>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</si>
  <si>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</si>
  <si>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</si>
  <si>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</si>
  <si>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</si>
  <si>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</si>
  <si>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</si>
  <si>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</si>
  <si>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</si>
  <si>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</si>
  <si>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</si>
  <si>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</si>
  <si>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</si>
  <si>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</si>
  <si>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</si>
  <si>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</si>
  <si>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</si>
  <si>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</si>
  <si>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</si>
  <si>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03 0 0003</t>
  </si>
  <si>
    <t>03 0 0004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</si>
  <si>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</si>
  <si>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</si>
  <si>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</si>
  <si>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</si>
  <si>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</si>
  <si>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</si>
  <si>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</si>
  <si>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</si>
  <si>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</si>
  <si>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</si>
  <si>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</si>
  <si>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</si>
  <si>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</si>
  <si>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</si>
  <si>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</si>
  <si>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</si>
  <si>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</si>
  <si>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</si>
  <si>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</si>
  <si>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</si>
  <si>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</si>
  <si>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</si>
  <si>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</si>
  <si>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</si>
  <si>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</si>
  <si>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</si>
  <si>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</si>
  <si>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</si>
  <si>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</si>
  <si>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</si>
  <si>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</si>
  <si>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</si>
  <si>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</si>
  <si>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</si>
  <si>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</si>
  <si>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</si>
  <si>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</si>
  <si>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</si>
  <si>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</si>
  <si>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</si>
  <si>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</si>
  <si>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</si>
  <si>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</si>
  <si>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</si>
  <si>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</si>
  <si>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</si>
  <si>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</si>
  <si>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</si>
  <si>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</si>
  <si>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</si>
  <si>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</si>
  <si>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</si>
  <si>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</si>
  <si>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</si>
  <si>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</si>
  <si>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</si>
  <si>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</si>
  <si>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Изменения</t>
  </si>
  <si>
    <t>Решение Череповецкой городской Думы от 10.12.2013 № 234</t>
  </si>
  <si>
    <t>Решение ЧГД от 25.02.2014 № 19</t>
  </si>
  <si>
    <t>99 4 1005</t>
  </si>
  <si>
    <t xml:space="preserve">Руководитель контрольно-счетной палаты муниципального образования и его заместители
</t>
  </si>
  <si>
    <t>Приложение 5</t>
  </si>
  <si>
    <t>20 0 1005</t>
  </si>
  <si>
    <t>Строительство детского сада № 20 в 112 мкр.</t>
  </si>
  <si>
    <t>Проведение мероприятий управлением образования мэрии (августовское совещание, Учитель года, День учителя, прием молодых специалистов)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</si>
  <si>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</si>
  <si>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</si>
  <si>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</si>
  <si>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</si>
  <si>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</si>
  <si>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02 4 0006</t>
  </si>
  <si>
    <t>Содержание и благоустройство территории парка имени Ленинского комсомола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</si>
  <si>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t>
  </si>
  <si>
    <t>02 8 0002</t>
  </si>
  <si>
    <t>Ведомственная целевая программа «Отрасль «Культура города Череповца» (2012-2014 годы) (Укрепление материально-технической базы муниципальных учреждений)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</si>
  <si>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</si>
  <si>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</si>
  <si>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</si>
  <si>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</si>
  <si>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</si>
  <si>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</si>
  <si>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</si>
  <si>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</si>
  <si>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</si>
  <si>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</si>
  <si>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</si>
  <si>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</si>
  <si>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</si>
  <si>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</si>
  <si>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 xml:space="preserve">КОНТРОЛЬНО-СЧЕТНАЯ ПАЛАТА ГОРОДА ЧЕРЕПОВЦА </t>
  </si>
  <si>
    <t>изменения</t>
  </si>
  <si>
    <t>Решение ЧГД от 25.03.2014 № 54</t>
  </si>
  <si>
    <t>20 0 1006</t>
  </si>
  <si>
    <t>Научно-исследовательские и опытно-конструкторские работы</t>
  </si>
  <si>
    <t>Приложение 4</t>
  </si>
  <si>
    <t>Решение ЧГД от 28.04.2014 № 78</t>
  </si>
  <si>
    <t>99 4 5083</t>
  </si>
  <si>
    <t>Реализация дополнительных мероприятий в сфере занятости населения за счет иных межбюджетных трансфертов из федерального бюджета</t>
  </si>
  <si>
    <t>99 4 2402</t>
  </si>
  <si>
    <t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t>
  </si>
  <si>
    <t>13 0 9120</t>
  </si>
  <si>
    <t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t>
  </si>
  <si>
    <t>13 0 9121</t>
  </si>
  <si>
    <t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t>
  </si>
  <si>
    <t>Решение ЧГД от 02.06.2014 № 112</t>
  </si>
  <si>
    <t>тыс.рублей</t>
  </si>
  <si>
    <t>16 0 0003</t>
  </si>
  <si>
    <t>Субсидии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t>
  </si>
  <si>
    <t>Приложение 3</t>
  </si>
  <si>
    <t>Туристско-рекреационный кластер «Центральная городская набережная»</t>
  </si>
  <si>
    <t>Решение ЧГД от 30.06.2014 № 138</t>
  </si>
  <si>
    <t>Проект решения</t>
  </si>
  <si>
    <t>14 1 5020</t>
  </si>
  <si>
    <t>Мероприятия подпрограммы "Обеспечение жильем молодых семей" федеральной целевой программы "Жилище" на 2011-2015 годы за счет субсидий из федерального бюджета</t>
  </si>
  <si>
    <t>20 0 5059</t>
  </si>
  <si>
    <t>Модернизация региональных систем дошкольного образования за счет субсидии из федерального бюджета</t>
  </si>
  <si>
    <t>13 0 5027</t>
  </si>
  <si>
    <t>07 0 5064</t>
  </si>
  <si>
    <t>02 9 5014</t>
  </si>
  <si>
    <t>Оснащение аварийно-спасательных подразделений МБУ «СпаС» современными аварийно-спасательными средствами и инструментом</t>
  </si>
  <si>
    <t xml:space="preserve">Обеспечение создания условий для реализации подпрограммы 2 </t>
  </si>
  <si>
    <t>Государственная поддержка малого и среднего предпринимательства, включая крестьянские (фермерские) хозяйства, за счет субсидий из федерального бюджета</t>
  </si>
  <si>
    <t>20 0 1007</t>
  </si>
  <si>
    <t>Строительство средней общеобразовательной школы № 24 в 112 мкр.</t>
  </si>
  <si>
    <t>20 0 1008</t>
  </si>
  <si>
    <t>Реконструкция Октябрьского проспекта на участке от Октябрьского моста до ул. Любецкой</t>
  </si>
  <si>
    <t>20 0 1009</t>
  </si>
  <si>
    <t>Реконструкция пр. Строителей</t>
  </si>
  <si>
    <t>20 0 1010</t>
  </si>
  <si>
    <t>Реконструкция ул. Мамлеева</t>
  </si>
  <si>
    <t>20 0 1011</t>
  </si>
  <si>
    <t>Реконструкция ул. Данилова</t>
  </si>
  <si>
    <t>Мероприятия государственной программы Российской Федерации "Доступная среда" на 2011-2015 годы за счет средств федерального бюджета</t>
  </si>
  <si>
    <t>18 2 0003</t>
  </si>
  <si>
    <t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t>
  </si>
  <si>
    <t>Реализация мероприятий федеральной целевой программы "Культура России" (2012-2018 годы) за счет субсидий из федерального бюджета</t>
  </si>
  <si>
    <t>13 0 0010</t>
  </si>
  <si>
    <t xml:space="preserve">от                 № </t>
  </si>
  <si>
    <t>от                  №</t>
  </si>
  <si>
    <t xml:space="preserve">от                №  </t>
  </si>
  <si>
    <t>13 0 9151</t>
  </si>
  <si>
    <t>13 0 9150</t>
  </si>
  <si>
    <t>13 0 9152</t>
  </si>
  <si>
    <t>Выплата единовременной социальной помощи в связи с рождением троих детей многодетным семьям</t>
  </si>
  <si>
    <t>Выплата единовременной социальной помощи Степановой К.Н. в связи с рождением троих детей в соответствии с решением Череповецкой городской Думы</t>
  </si>
  <si>
    <t>Выплата единовременной социальной помощи Бовыкиной Я.А. в связи с рождением троих детей в соответствии с решением Череповецкой городской Думы</t>
  </si>
  <si>
    <t>Обеспечение участия в физкультурных мероприятиях и спортивных мероприятиях различного уровня (регионального, всероссийского и международного)</t>
  </si>
  <si>
    <t>Реализация  дополнительных общеобразовательных программ</t>
  </si>
  <si>
    <t>Организация и ведение бухгалтерского (бюджетного) учета и отчетности</t>
  </si>
  <si>
    <t>Мероприятия по подпрограмме "Безбарьерная среда" в рамках софинансирования с государственной программой "Социальная поддержка граждан в Вологодской области на 2014-2018 годы"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</si>
</sst>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2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u val="single"/>
      <sz val="8"/>
      <color theme="10"/>
      <name val="Arial Cyr"/>
      <family val="2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161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6" fillId="0" borderId="0" xfId="38" applyNumberFormat="1" applyFont="1" applyFill="1" applyBorder="1" applyAlignment="1">
      <alignment vertical="center" wrapText="1"/>
      <protection/>
    </xf>
    <xf numFmtId="164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30" applyNumberFormat="1" applyFont="1" applyFill="1" applyBorder="1" applyAlignment="1" applyProtection="1">
      <alignment horizontal="justify" vertical="center" wrapText="1"/>
      <protection hidden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/>
    </xf>
    <xf numFmtId="164" fontId="2" fillId="3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44" applyFont="1" applyBorder="1" applyAlignment="1" applyProtection="1">
      <alignment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  <cellStyle name="Гиперссылка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800100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16</xdr:col>
      <xdr:colOff>819150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3" sqref="B13"/>
    </sheetView>
  </sheetViews>
  <sheetFormatPr defaultColWidth="9.125" defaultRowHeight="12.75"/>
  <cols>
    <col min="1" max="1" width="9.125" style="35" customWidth="1"/>
    <col min="2" max="2" width="50.75390625" style="35" customWidth="1"/>
    <col min="3" max="16384" width="9.125" style="35" customWidth="1"/>
  </cols>
  <sheetData>
    <row r="1" spans="1:2" ht="16.5">
      <c r="A1" s="27" t="s">
        <v>324</v>
      </c>
      <c r="B1" s="34" t="s">
        <v>217</v>
      </c>
    </row>
    <row r="2" spans="1:2" ht="16.5">
      <c r="A2" s="6">
        <v>801</v>
      </c>
      <c r="B2" s="17" t="s">
        <v>247</v>
      </c>
    </row>
    <row r="3" spans="1:2" ht="16.5">
      <c r="A3" s="6">
        <v>802</v>
      </c>
      <c r="B3" s="11" t="s">
        <v>248</v>
      </c>
    </row>
    <row r="4" spans="1:2" ht="49.5">
      <c r="A4" s="6">
        <v>803</v>
      </c>
      <c r="B4" s="18" t="s">
        <v>249</v>
      </c>
    </row>
    <row r="5" spans="1:2" ht="33">
      <c r="A5" s="6">
        <v>804</v>
      </c>
      <c r="B5" s="18" t="s">
        <v>250</v>
      </c>
    </row>
    <row r="6" spans="1:2" ht="33">
      <c r="A6" s="6">
        <v>805</v>
      </c>
      <c r="B6" s="18" t="s">
        <v>251</v>
      </c>
    </row>
    <row r="7" spans="1:2" ht="33">
      <c r="A7" s="6">
        <v>807</v>
      </c>
      <c r="B7" s="18" t="s">
        <v>252</v>
      </c>
    </row>
    <row r="8" spans="1:2" ht="33">
      <c r="A8" s="6">
        <v>808</v>
      </c>
      <c r="B8" s="18" t="s">
        <v>190</v>
      </c>
    </row>
    <row r="9" spans="1:2" ht="33">
      <c r="A9" s="6">
        <v>809</v>
      </c>
      <c r="B9" s="18" t="s">
        <v>253</v>
      </c>
    </row>
    <row r="10" spans="1:2" ht="33">
      <c r="A10" s="6">
        <v>810</v>
      </c>
      <c r="B10" s="18" t="s">
        <v>254</v>
      </c>
    </row>
    <row r="11" spans="1:2" ht="33">
      <c r="A11" s="6">
        <v>811</v>
      </c>
      <c r="B11" s="18" t="s">
        <v>255</v>
      </c>
    </row>
    <row r="12" spans="1:2" ht="33">
      <c r="A12" s="67">
        <v>812</v>
      </c>
      <c r="B12" s="18" t="s">
        <v>629</v>
      </c>
    </row>
    <row r="13" spans="1:2" ht="49.5">
      <c r="A13" s="6">
        <v>840</v>
      </c>
      <c r="B13" s="18" t="s">
        <v>213</v>
      </c>
    </row>
    <row r="14" spans="1:2" ht="33">
      <c r="A14" s="6">
        <v>842</v>
      </c>
      <c r="B14" s="10" t="s">
        <v>210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125" defaultRowHeight="12.75"/>
  <cols>
    <col min="1" max="1" width="13.125" style="38" customWidth="1"/>
    <col min="2" max="2" width="55.625" style="35" customWidth="1"/>
    <col min="3" max="16384" width="9.125" style="35" customWidth="1"/>
  </cols>
  <sheetData>
    <row r="1" spans="1:2" ht="16.5">
      <c r="A1" s="41" t="s">
        <v>324</v>
      </c>
      <c r="B1" s="39" t="s">
        <v>217</v>
      </c>
    </row>
    <row r="2" spans="1:2" ht="16.5">
      <c r="A2" s="9" t="s">
        <v>221</v>
      </c>
      <c r="B2" s="40" t="s">
        <v>341</v>
      </c>
    </row>
    <row r="3" spans="1:2" ht="33">
      <c r="A3" s="9" t="s">
        <v>223</v>
      </c>
      <c r="B3" s="40" t="s">
        <v>342</v>
      </c>
    </row>
    <row r="4" spans="1:2" ht="16.5">
      <c r="A4" s="9" t="s">
        <v>224</v>
      </c>
      <c r="B4" s="40" t="s">
        <v>191</v>
      </c>
    </row>
    <row r="5" spans="1:2" ht="16.5">
      <c r="A5" s="9" t="s">
        <v>229</v>
      </c>
      <c r="B5" s="40" t="s">
        <v>184</v>
      </c>
    </row>
    <row r="6" spans="1:2" ht="16.5">
      <c r="A6" s="9" t="s">
        <v>225</v>
      </c>
      <c r="B6" s="40" t="s">
        <v>169</v>
      </c>
    </row>
    <row r="7" spans="1:2" ht="16.5">
      <c r="A7" s="9" t="s">
        <v>203</v>
      </c>
      <c r="B7" s="40" t="s">
        <v>185</v>
      </c>
    </row>
    <row r="8" spans="1:2" ht="16.5">
      <c r="A8" s="9" t="s">
        <v>230</v>
      </c>
      <c r="B8" s="40" t="s">
        <v>343</v>
      </c>
    </row>
    <row r="9" spans="1:2" ht="16.5">
      <c r="A9" s="9" t="s">
        <v>227</v>
      </c>
      <c r="B9" s="40" t="s">
        <v>272</v>
      </c>
    </row>
    <row r="10" spans="1:2" ht="16.5">
      <c r="A10" s="9" t="s">
        <v>196</v>
      </c>
      <c r="B10" s="40" t="s">
        <v>186</v>
      </c>
    </row>
    <row r="11" spans="1:2" ht="16.5">
      <c r="A11" s="9" t="s">
        <v>232</v>
      </c>
      <c r="B11" s="40" t="s">
        <v>183</v>
      </c>
    </row>
    <row r="12" spans="1:2" ht="16.5">
      <c r="A12" s="9" t="s">
        <v>204</v>
      </c>
      <c r="B12" s="40" t="s">
        <v>226</v>
      </c>
    </row>
    <row r="13" spans="1:2" ht="33">
      <c r="A13" s="9" t="s">
        <v>198</v>
      </c>
      <c r="B13" s="40" t="s">
        <v>189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8"/>
  <sheetViews>
    <sheetView zoomScale="80" zoomScaleNormal="80" workbookViewId="0" topLeftCell="A118">
      <selection activeCell="D132" sqref="D132"/>
    </sheetView>
  </sheetViews>
  <sheetFormatPr defaultColWidth="9.125" defaultRowHeight="12.75"/>
  <cols>
    <col min="1" max="1" width="13.75390625" style="28" customWidth="1"/>
    <col min="2" max="2" width="89.00390625" style="4" customWidth="1"/>
    <col min="3" max="16384" width="9.125" style="4" customWidth="1"/>
  </cols>
  <sheetData>
    <row r="1" spans="1:2" ht="12.75">
      <c r="A1" s="27" t="s">
        <v>324</v>
      </c>
      <c r="B1" s="25" t="s">
        <v>217</v>
      </c>
    </row>
    <row r="2" spans="1:2" ht="12.75">
      <c r="A2" s="26" t="s">
        <v>279</v>
      </c>
      <c r="B2" s="25" t="s">
        <v>280</v>
      </c>
    </row>
    <row r="3" spans="1:2" ht="39.95" customHeight="1">
      <c r="A3" s="26" t="s">
        <v>281</v>
      </c>
      <c r="B3" s="25" t="s">
        <v>604</v>
      </c>
    </row>
    <row r="4" spans="1:2" ht="12.75">
      <c r="A4" s="26" t="s">
        <v>282</v>
      </c>
      <c r="B4" s="25" t="s">
        <v>283</v>
      </c>
    </row>
    <row r="5" spans="1:2" ht="33">
      <c r="A5" s="26" t="s">
        <v>284</v>
      </c>
      <c r="B5" s="25" t="s">
        <v>285</v>
      </c>
    </row>
    <row r="6" spans="1:2" ht="33">
      <c r="A6" s="26" t="s">
        <v>433</v>
      </c>
      <c r="B6" s="25" t="s">
        <v>434</v>
      </c>
    </row>
    <row r="7" spans="1:2" ht="12.75">
      <c r="A7" s="26" t="s">
        <v>286</v>
      </c>
      <c r="B7" s="25" t="s">
        <v>266</v>
      </c>
    </row>
    <row r="8" spans="1:2" ht="49.5">
      <c r="A8" s="26" t="s">
        <v>287</v>
      </c>
      <c r="B8" s="25" t="s">
        <v>456</v>
      </c>
    </row>
    <row r="9" spans="1:2" ht="49.5">
      <c r="A9" s="26" t="s">
        <v>435</v>
      </c>
      <c r="B9" s="25" t="s">
        <v>436</v>
      </c>
    </row>
    <row r="10" spans="1:2" ht="66">
      <c r="A10" s="26" t="s">
        <v>437</v>
      </c>
      <c r="B10" s="25" t="s">
        <v>438</v>
      </c>
    </row>
    <row r="11" spans="1:2" ht="12.75">
      <c r="A11" s="26" t="s">
        <v>288</v>
      </c>
      <c r="B11" s="25" t="s">
        <v>258</v>
      </c>
    </row>
    <row r="12" spans="1:2" ht="53.25" customHeight="1">
      <c r="A12" s="26" t="s">
        <v>289</v>
      </c>
      <c r="B12" s="25" t="s">
        <v>457</v>
      </c>
    </row>
    <row r="13" spans="1:2" ht="75.95" customHeight="1">
      <c r="A13" s="26" t="s">
        <v>290</v>
      </c>
      <c r="B13" s="25" t="s">
        <v>458</v>
      </c>
    </row>
    <row r="14" spans="1:2" ht="33">
      <c r="A14" s="26" t="s">
        <v>291</v>
      </c>
      <c r="B14" s="25" t="s">
        <v>292</v>
      </c>
    </row>
    <row r="15" spans="1:2" ht="53.25" customHeight="1">
      <c r="A15" s="26" t="s">
        <v>446</v>
      </c>
      <c r="B15" s="25" t="s">
        <v>459</v>
      </c>
    </row>
    <row r="16" spans="1:2" ht="121.5" customHeight="1">
      <c r="A16" s="26" t="s">
        <v>443</v>
      </c>
      <c r="B16" s="25" t="s">
        <v>444</v>
      </c>
    </row>
    <row r="17" spans="1:2" ht="84.75" customHeight="1">
      <c r="A17" s="26" t="s">
        <v>445</v>
      </c>
      <c r="B17" s="25" t="s">
        <v>460</v>
      </c>
    </row>
    <row r="18" spans="1:2" ht="12.75">
      <c r="A18" s="26" t="s">
        <v>293</v>
      </c>
      <c r="B18" s="25" t="s">
        <v>294</v>
      </c>
    </row>
    <row r="19" spans="1:2" ht="12.75">
      <c r="A19" s="26" t="s">
        <v>295</v>
      </c>
      <c r="B19" s="25" t="s">
        <v>296</v>
      </c>
    </row>
    <row r="20" spans="1:2" ht="49.5">
      <c r="A20" s="26" t="s">
        <v>297</v>
      </c>
      <c r="B20" s="45" t="s">
        <v>298</v>
      </c>
    </row>
    <row r="21" spans="1:2" ht="66.75" customHeight="1">
      <c r="A21" s="26" t="s">
        <v>111</v>
      </c>
      <c r="B21" s="25" t="s">
        <v>112</v>
      </c>
    </row>
    <row r="22" spans="1:2" ht="12.75">
      <c r="A22" s="26" t="s">
        <v>299</v>
      </c>
      <c r="B22" s="25" t="s">
        <v>300</v>
      </c>
    </row>
    <row r="23" spans="1:2" ht="33">
      <c r="A23" s="26" t="s">
        <v>301</v>
      </c>
      <c r="B23" s="25" t="s">
        <v>302</v>
      </c>
    </row>
    <row r="24" spans="1:2" ht="38.25" customHeight="1">
      <c r="A24" s="26" t="s">
        <v>303</v>
      </c>
      <c r="B24" s="11" t="s">
        <v>605</v>
      </c>
    </row>
    <row r="25" spans="1:2" ht="33">
      <c r="A25" s="26" t="s">
        <v>304</v>
      </c>
      <c r="B25" s="25" t="s">
        <v>305</v>
      </c>
    </row>
    <row r="26" spans="1:2" ht="76.5" customHeight="1">
      <c r="A26" s="26" t="s">
        <v>306</v>
      </c>
      <c r="B26" s="45" t="s">
        <v>606</v>
      </c>
    </row>
    <row r="27" spans="1:2" ht="61.5" customHeight="1">
      <c r="A27" s="26" t="s">
        <v>463</v>
      </c>
      <c r="B27" s="45" t="s">
        <v>607</v>
      </c>
    </row>
    <row r="28" spans="1:2" ht="78" customHeight="1">
      <c r="A28" s="26" t="s">
        <v>464</v>
      </c>
      <c r="B28" s="25" t="s">
        <v>608</v>
      </c>
    </row>
    <row r="29" spans="1:2" ht="33">
      <c r="A29" s="26" t="s">
        <v>465</v>
      </c>
      <c r="B29" s="25" t="s">
        <v>466</v>
      </c>
    </row>
    <row r="30" spans="1:2" ht="37.5" customHeight="1">
      <c r="A30" s="26" t="s">
        <v>467</v>
      </c>
      <c r="B30" s="25" t="s">
        <v>609</v>
      </c>
    </row>
    <row r="31" spans="1:2" ht="12.75">
      <c r="A31" s="26" t="s">
        <v>468</v>
      </c>
      <c r="B31" s="25" t="s">
        <v>469</v>
      </c>
    </row>
    <row r="32" spans="1:2" ht="33">
      <c r="A32" s="26" t="s">
        <v>470</v>
      </c>
      <c r="B32" s="25" t="s">
        <v>471</v>
      </c>
    </row>
    <row r="33" spans="1:2" ht="33">
      <c r="A33" s="26" t="s">
        <v>420</v>
      </c>
      <c r="B33" s="25" t="s">
        <v>421</v>
      </c>
    </row>
    <row r="34" spans="1:2" ht="70.7" customHeight="1">
      <c r="A34" s="26" t="s">
        <v>422</v>
      </c>
      <c r="B34" s="25" t="s">
        <v>423</v>
      </c>
    </row>
    <row r="35" spans="1:2" ht="143.25" customHeight="1">
      <c r="A35" s="26" t="s">
        <v>441</v>
      </c>
      <c r="B35" s="25" t="s">
        <v>442</v>
      </c>
    </row>
    <row r="36" spans="1:2" ht="33">
      <c r="A36" s="26" t="s">
        <v>472</v>
      </c>
      <c r="B36" s="25" t="s">
        <v>473</v>
      </c>
    </row>
    <row r="37" spans="1:2" ht="33">
      <c r="A37" s="26" t="s">
        <v>474</v>
      </c>
      <c r="B37" s="25" t="s">
        <v>475</v>
      </c>
    </row>
    <row r="38" spans="1:2" ht="12.75">
      <c r="A38" s="26" t="s">
        <v>476</v>
      </c>
      <c r="B38" s="25" t="s">
        <v>477</v>
      </c>
    </row>
    <row r="39" spans="1:2" ht="49.5">
      <c r="A39" s="26" t="s">
        <v>478</v>
      </c>
      <c r="B39" s="25" t="s">
        <v>115</v>
      </c>
    </row>
    <row r="40" spans="1:2" ht="12.75">
      <c r="A40" s="26" t="s">
        <v>479</v>
      </c>
      <c r="B40" s="25" t="s">
        <v>121</v>
      </c>
    </row>
    <row r="41" spans="1:2" ht="66">
      <c r="A41" s="26" t="s">
        <v>480</v>
      </c>
      <c r="B41" s="25" t="s">
        <v>481</v>
      </c>
    </row>
    <row r="42" spans="1:2" ht="49.5">
      <c r="A42" s="26" t="s">
        <v>482</v>
      </c>
      <c r="B42" s="25" t="s">
        <v>483</v>
      </c>
    </row>
    <row r="43" spans="1:2" ht="12.75">
      <c r="A43" s="26" t="s">
        <v>484</v>
      </c>
      <c r="B43" s="25" t="s">
        <v>485</v>
      </c>
    </row>
    <row r="44" spans="1:2" ht="12.75">
      <c r="A44" s="26" t="s">
        <v>486</v>
      </c>
      <c r="B44" s="25" t="s">
        <v>487</v>
      </c>
    </row>
    <row r="45" spans="1:2" ht="12.75">
      <c r="A45" s="26" t="s">
        <v>488</v>
      </c>
      <c r="B45" s="25" t="s">
        <v>489</v>
      </c>
    </row>
    <row r="46" spans="1:2" ht="12.75">
      <c r="A46" s="26" t="s">
        <v>490</v>
      </c>
      <c r="B46" s="25" t="s">
        <v>116</v>
      </c>
    </row>
    <row r="47" spans="1:2" ht="33">
      <c r="A47" s="26" t="s">
        <v>491</v>
      </c>
      <c r="B47" s="25" t="s">
        <v>117</v>
      </c>
    </row>
    <row r="48" spans="1:2" ht="49.5">
      <c r="A48" s="26" t="s">
        <v>492</v>
      </c>
      <c r="B48" s="25" t="s">
        <v>628</v>
      </c>
    </row>
    <row r="49" spans="1:2" ht="12.75">
      <c r="A49" s="26" t="s">
        <v>493</v>
      </c>
      <c r="B49" s="25" t="s">
        <v>494</v>
      </c>
    </row>
    <row r="50" spans="1:2" ht="12.75">
      <c r="A50" s="26" t="s">
        <v>495</v>
      </c>
      <c r="B50" s="25" t="s">
        <v>496</v>
      </c>
    </row>
    <row r="51" spans="1:2" ht="12.75">
      <c r="A51" s="26" t="s">
        <v>497</v>
      </c>
      <c r="B51" s="25" t="s">
        <v>498</v>
      </c>
    </row>
    <row r="52" spans="1:2" ht="12.75">
      <c r="A52" s="26" t="s">
        <v>499</v>
      </c>
      <c r="B52" s="25" t="s">
        <v>500</v>
      </c>
    </row>
    <row r="53" spans="1:2" ht="12.75">
      <c r="A53" s="26" t="s">
        <v>501</v>
      </c>
      <c r="B53" s="25" t="s">
        <v>502</v>
      </c>
    </row>
    <row r="54" spans="1:2" ht="49.5">
      <c r="A54" s="26" t="s">
        <v>503</v>
      </c>
      <c r="B54" s="25" t="s">
        <v>504</v>
      </c>
    </row>
    <row r="55" spans="1:2" ht="49.5">
      <c r="A55" s="26" t="s">
        <v>505</v>
      </c>
      <c r="B55" s="25" t="s">
        <v>506</v>
      </c>
    </row>
    <row r="56" spans="1:2" ht="66">
      <c r="A56" s="26" t="s">
        <v>507</v>
      </c>
      <c r="B56" s="25" t="s">
        <v>118</v>
      </c>
    </row>
    <row r="57" spans="1:2" ht="12.75">
      <c r="A57" s="26" t="s">
        <v>508</v>
      </c>
      <c r="B57" s="25" t="s">
        <v>494</v>
      </c>
    </row>
    <row r="58" spans="1:2" ht="33">
      <c r="A58" s="26" t="s">
        <v>509</v>
      </c>
      <c r="B58" s="25" t="s">
        <v>510</v>
      </c>
    </row>
    <row r="59" spans="1:2" ht="21" customHeight="1">
      <c r="A59" s="44" t="s">
        <v>610</v>
      </c>
      <c r="B59" s="34" t="s">
        <v>611</v>
      </c>
    </row>
    <row r="60" spans="1:2" ht="12.75">
      <c r="A60" s="26" t="s">
        <v>511</v>
      </c>
      <c r="B60" s="25" t="s">
        <v>512</v>
      </c>
    </row>
    <row r="61" spans="1:2" ht="49.5">
      <c r="A61" s="26" t="s">
        <v>513</v>
      </c>
      <c r="B61" s="25" t="s">
        <v>119</v>
      </c>
    </row>
    <row r="62" spans="1:2" ht="49.5">
      <c r="A62" s="26" t="s">
        <v>514</v>
      </c>
      <c r="B62" s="25" t="s">
        <v>483</v>
      </c>
    </row>
    <row r="63" spans="1:2" ht="12.75">
      <c r="A63" s="26" t="s">
        <v>515</v>
      </c>
      <c r="B63" s="25" t="s">
        <v>494</v>
      </c>
    </row>
    <row r="64" spans="1:2" ht="12.75">
      <c r="A64" s="26" t="s">
        <v>516</v>
      </c>
      <c r="B64" s="25" t="s">
        <v>517</v>
      </c>
    </row>
    <row r="65" spans="1:2" ht="69.75" customHeight="1">
      <c r="A65" s="26" t="s">
        <v>518</v>
      </c>
      <c r="B65" s="25" t="s">
        <v>120</v>
      </c>
    </row>
    <row r="66" spans="1:2" ht="73.5" customHeight="1">
      <c r="A66" s="26" t="s">
        <v>519</v>
      </c>
      <c r="B66" s="25" t="s">
        <v>612</v>
      </c>
    </row>
    <row r="67" spans="1:2" ht="12.75">
      <c r="A67" s="26" t="s">
        <v>520</v>
      </c>
      <c r="B67" s="25" t="s">
        <v>521</v>
      </c>
    </row>
    <row r="68" spans="1:2" ht="12.75">
      <c r="A68" s="26" t="s">
        <v>522</v>
      </c>
      <c r="B68" s="25" t="s">
        <v>523</v>
      </c>
    </row>
    <row r="69" spans="1:2" ht="12.75">
      <c r="A69" s="26" t="s">
        <v>524</v>
      </c>
      <c r="B69" s="25" t="s">
        <v>525</v>
      </c>
    </row>
    <row r="70" spans="1:2" ht="53.25" customHeight="1">
      <c r="A70" s="26" t="s">
        <v>613</v>
      </c>
      <c r="B70" s="25" t="s">
        <v>614</v>
      </c>
    </row>
    <row r="71" spans="1:2" ht="33">
      <c r="A71" s="26" t="s">
        <v>526</v>
      </c>
      <c r="B71" s="25" t="s">
        <v>527</v>
      </c>
    </row>
    <row r="72" spans="1:2" ht="49.5">
      <c r="A72" s="26" t="s">
        <v>528</v>
      </c>
      <c r="B72" s="25" t="s">
        <v>483</v>
      </c>
    </row>
    <row r="73" spans="1:2" ht="23.25" customHeight="1">
      <c r="A73" s="26" t="s">
        <v>529</v>
      </c>
      <c r="B73" s="25" t="s">
        <v>494</v>
      </c>
    </row>
    <row r="74" spans="1:2" ht="51" customHeight="1">
      <c r="A74" s="26" t="s">
        <v>658</v>
      </c>
      <c r="B74" s="25" t="s">
        <v>675</v>
      </c>
    </row>
    <row r="75" spans="1:2" ht="33">
      <c r="A75" s="26" t="s">
        <v>530</v>
      </c>
      <c r="B75" s="25" t="s">
        <v>531</v>
      </c>
    </row>
    <row r="76" spans="1:2" ht="33">
      <c r="A76" s="26" t="s">
        <v>532</v>
      </c>
      <c r="B76" s="25" t="s">
        <v>533</v>
      </c>
    </row>
    <row r="77" spans="1:2" ht="12.75">
      <c r="A77" s="26" t="s">
        <v>534</v>
      </c>
      <c r="B77" s="25" t="s">
        <v>535</v>
      </c>
    </row>
    <row r="78" spans="1:2" ht="39.95" customHeight="1">
      <c r="A78" s="26" t="s">
        <v>536</v>
      </c>
      <c r="B78" s="25" t="s">
        <v>686</v>
      </c>
    </row>
    <row r="79" spans="1:2" ht="12.75">
      <c r="A79" s="26" t="s">
        <v>537</v>
      </c>
      <c r="B79" s="25" t="s">
        <v>687</v>
      </c>
    </row>
    <row r="80" spans="1:2" ht="12.75">
      <c r="A80" s="26" t="s">
        <v>538</v>
      </c>
      <c r="B80" s="25" t="s">
        <v>688</v>
      </c>
    </row>
    <row r="81" spans="1:2" ht="12.75">
      <c r="A81" s="26" t="s">
        <v>539</v>
      </c>
      <c r="B81" s="25" t="s">
        <v>540</v>
      </c>
    </row>
    <row r="82" spans="1:2" ht="12.75">
      <c r="A82" s="26" t="s">
        <v>541</v>
      </c>
      <c r="B82" s="25" t="s">
        <v>542</v>
      </c>
    </row>
    <row r="83" spans="1:2" ht="12.75">
      <c r="A83" s="26" t="s">
        <v>543</v>
      </c>
      <c r="B83" s="25" t="s">
        <v>544</v>
      </c>
    </row>
    <row r="84" spans="1:2" ht="33">
      <c r="A84" s="26" t="s">
        <v>545</v>
      </c>
      <c r="B84" s="25" t="s">
        <v>546</v>
      </c>
    </row>
    <row r="85" spans="1:2" ht="83.45" customHeight="1">
      <c r="A85" s="26" t="s">
        <v>392</v>
      </c>
      <c r="B85" s="25" t="s">
        <v>393</v>
      </c>
    </row>
    <row r="86" spans="1:2" ht="12.75">
      <c r="A86" s="43" t="s">
        <v>547</v>
      </c>
      <c r="B86" s="25" t="s">
        <v>548</v>
      </c>
    </row>
    <row r="87" spans="1:2" ht="33">
      <c r="A87" s="43" t="s">
        <v>549</v>
      </c>
      <c r="B87" s="45" t="s">
        <v>550</v>
      </c>
    </row>
    <row r="88" spans="1:2" ht="33">
      <c r="A88" s="43" t="s">
        <v>551</v>
      </c>
      <c r="B88" s="45" t="s">
        <v>552</v>
      </c>
    </row>
    <row r="89" spans="1:2" ht="12.75">
      <c r="A89" s="43" t="s">
        <v>553</v>
      </c>
      <c r="B89" s="45" t="s">
        <v>114</v>
      </c>
    </row>
    <row r="90" spans="1:2" ht="103.5" customHeight="1">
      <c r="A90" s="43" t="s">
        <v>554</v>
      </c>
      <c r="B90" s="45" t="s">
        <v>615</v>
      </c>
    </row>
    <row r="91" spans="1:2" ht="33">
      <c r="A91" s="43" t="s">
        <v>555</v>
      </c>
      <c r="B91" s="25" t="s">
        <v>556</v>
      </c>
    </row>
    <row r="92" spans="1:2" ht="33">
      <c r="A92" s="43" t="s">
        <v>557</v>
      </c>
      <c r="B92" s="25" t="s">
        <v>558</v>
      </c>
    </row>
    <row r="93" spans="1:2" ht="33">
      <c r="A93" s="43" t="s">
        <v>559</v>
      </c>
      <c r="B93" s="45" t="s">
        <v>560</v>
      </c>
    </row>
    <row r="94" spans="1:2" ht="33">
      <c r="A94" s="43" t="s">
        <v>561</v>
      </c>
      <c r="B94" s="45" t="s">
        <v>562</v>
      </c>
    </row>
    <row r="95" spans="1:2" ht="33">
      <c r="A95" s="43" t="s">
        <v>563</v>
      </c>
      <c r="B95" s="45" t="s">
        <v>564</v>
      </c>
    </row>
    <row r="96" spans="1:2" ht="37.5" customHeight="1">
      <c r="A96" s="43" t="s">
        <v>657</v>
      </c>
      <c r="B96" s="45" t="s">
        <v>661</v>
      </c>
    </row>
    <row r="97" spans="1:2" ht="33">
      <c r="A97" s="43" t="s">
        <v>565</v>
      </c>
      <c r="B97" s="45" t="s">
        <v>566</v>
      </c>
    </row>
    <row r="98" spans="1:2" ht="12.75">
      <c r="A98" s="43" t="s">
        <v>567</v>
      </c>
      <c r="B98" s="25" t="s">
        <v>568</v>
      </c>
    </row>
    <row r="99" spans="1:2" ht="33">
      <c r="A99" s="43" t="s">
        <v>569</v>
      </c>
      <c r="B99" s="25" t="s">
        <v>570</v>
      </c>
    </row>
    <row r="100" spans="1:2" ht="12.75">
      <c r="A100" s="43" t="s">
        <v>571</v>
      </c>
      <c r="B100" s="25" t="s">
        <v>572</v>
      </c>
    </row>
    <row r="101" spans="1:2" ht="12.75">
      <c r="A101" s="26" t="s">
        <v>573</v>
      </c>
      <c r="B101" s="25" t="s">
        <v>574</v>
      </c>
    </row>
    <row r="102" spans="1:2" ht="33">
      <c r="A102" s="26" t="s">
        <v>575</v>
      </c>
      <c r="B102" s="25" t="s">
        <v>576</v>
      </c>
    </row>
    <row r="103" spans="1:2" ht="49.5">
      <c r="A103" s="26" t="s">
        <v>577</v>
      </c>
      <c r="B103" s="25" t="s">
        <v>627</v>
      </c>
    </row>
    <row r="104" spans="1:2" ht="72" customHeight="1">
      <c r="A104" s="26" t="s">
        <v>578</v>
      </c>
      <c r="B104" s="25" t="s">
        <v>616</v>
      </c>
    </row>
    <row r="105" spans="1:2" ht="12.75">
      <c r="A105" s="26" t="s">
        <v>579</v>
      </c>
      <c r="B105" s="25" t="s">
        <v>580</v>
      </c>
    </row>
    <row r="106" spans="1:2" ht="12.75">
      <c r="A106" s="26" t="s">
        <v>581</v>
      </c>
      <c r="B106" s="59" t="s">
        <v>346</v>
      </c>
    </row>
    <row r="107" spans="1:2" ht="12.75">
      <c r="A107" s="26" t="s">
        <v>582</v>
      </c>
      <c r="B107" s="45" t="s">
        <v>583</v>
      </c>
    </row>
    <row r="108" spans="1:2" ht="12.75">
      <c r="A108" s="26" t="s">
        <v>584</v>
      </c>
      <c r="B108" s="45" t="s">
        <v>585</v>
      </c>
    </row>
    <row r="109" spans="1:2" ht="12.75">
      <c r="A109" s="26" t="s">
        <v>586</v>
      </c>
      <c r="B109" s="45" t="s">
        <v>587</v>
      </c>
    </row>
    <row r="110" spans="1:2" ht="12.75">
      <c r="A110" s="26" t="s">
        <v>588</v>
      </c>
      <c r="B110" s="45" t="s">
        <v>589</v>
      </c>
    </row>
    <row r="111" spans="1:2" ht="12.75">
      <c r="A111" s="26" t="s">
        <v>590</v>
      </c>
      <c r="B111" s="45" t="s">
        <v>591</v>
      </c>
    </row>
    <row r="112" spans="1:2" ht="33">
      <c r="A112" s="26" t="s">
        <v>592</v>
      </c>
      <c r="B112" s="25" t="s">
        <v>593</v>
      </c>
    </row>
    <row r="113" spans="1:2" ht="33">
      <c r="A113" s="26" t="s">
        <v>594</v>
      </c>
      <c r="B113" s="25" t="s">
        <v>347</v>
      </c>
    </row>
    <row r="114" spans="1:2" ht="75.95" customHeight="1">
      <c r="A114" s="26" t="s">
        <v>595</v>
      </c>
      <c r="B114" s="25" t="s">
        <v>0</v>
      </c>
    </row>
    <row r="115" spans="1:2" ht="38.25" customHeight="1">
      <c r="A115" s="43" t="s">
        <v>1</v>
      </c>
      <c r="B115" s="25" t="s">
        <v>617</v>
      </c>
    </row>
    <row r="116" spans="1:2" ht="33">
      <c r="A116" s="43" t="s">
        <v>2</v>
      </c>
      <c r="B116" s="25" t="s">
        <v>3</v>
      </c>
    </row>
    <row r="117" spans="1:2" ht="12.75">
      <c r="A117" s="43" t="s">
        <v>4</v>
      </c>
      <c r="B117" s="25" t="s">
        <v>5</v>
      </c>
    </row>
    <row r="118" spans="1:2" ht="21.95" customHeight="1">
      <c r="A118" s="43" t="s">
        <v>6</v>
      </c>
      <c r="B118" s="25" t="s">
        <v>618</v>
      </c>
    </row>
    <row r="119" spans="1:2" ht="49.5">
      <c r="A119" s="43" t="s">
        <v>7</v>
      </c>
      <c r="B119" s="25" t="s">
        <v>8</v>
      </c>
    </row>
    <row r="120" spans="1:2" ht="56.25" customHeight="1">
      <c r="A120" s="43" t="s">
        <v>9</v>
      </c>
      <c r="B120" s="25" t="s">
        <v>461</v>
      </c>
    </row>
    <row r="121" spans="1:2" ht="33">
      <c r="A121" s="43" t="s">
        <v>10</v>
      </c>
      <c r="B121" s="25" t="s">
        <v>11</v>
      </c>
    </row>
    <row r="122" spans="1:2" ht="49.5">
      <c r="A122" s="43" t="s">
        <v>12</v>
      </c>
      <c r="B122" s="25" t="s">
        <v>619</v>
      </c>
    </row>
    <row r="123" spans="1:2" ht="33">
      <c r="A123" s="43" t="s">
        <v>13</v>
      </c>
      <c r="B123" s="25" t="s">
        <v>620</v>
      </c>
    </row>
    <row r="124" spans="1:2" ht="49.5">
      <c r="A124" s="43" t="s">
        <v>14</v>
      </c>
      <c r="B124" s="25" t="s">
        <v>621</v>
      </c>
    </row>
    <row r="125" spans="1:2" ht="33">
      <c r="A125" s="43" t="s">
        <v>15</v>
      </c>
      <c r="B125" s="25" t="s">
        <v>16</v>
      </c>
    </row>
    <row r="126" spans="1:2" ht="53.25" customHeight="1">
      <c r="A126" s="43" t="s">
        <v>17</v>
      </c>
      <c r="B126" s="25" t="s">
        <v>622</v>
      </c>
    </row>
    <row r="127" spans="1:2" ht="39" customHeight="1">
      <c r="A127" s="43" t="s">
        <v>18</v>
      </c>
      <c r="B127" s="25" t="s">
        <v>19</v>
      </c>
    </row>
    <row r="128" spans="1:2" ht="52.7" customHeight="1">
      <c r="A128" s="43" t="s">
        <v>20</v>
      </c>
      <c r="B128" s="25" t="s">
        <v>623</v>
      </c>
    </row>
    <row r="129" spans="1:2" ht="33">
      <c r="A129" s="43" t="s">
        <v>21</v>
      </c>
      <c r="B129" s="25" t="s">
        <v>344</v>
      </c>
    </row>
    <row r="130" spans="1:2" ht="12.75">
      <c r="A130" s="43" t="s">
        <v>22</v>
      </c>
      <c r="B130" s="25" t="s">
        <v>23</v>
      </c>
    </row>
    <row r="131" spans="1:2" ht="56.25" customHeight="1">
      <c r="A131" s="43" t="s">
        <v>373</v>
      </c>
      <c r="B131" s="25" t="s">
        <v>374</v>
      </c>
    </row>
    <row r="132" spans="1:2" ht="61.5" customHeight="1">
      <c r="A132" s="43" t="s">
        <v>676</v>
      </c>
      <c r="B132" s="25" t="s">
        <v>689</v>
      </c>
    </row>
    <row r="133" spans="1:2" ht="39" customHeight="1">
      <c r="A133" s="43" t="s">
        <v>656</v>
      </c>
      <c r="B133" s="125" t="s">
        <v>672</v>
      </c>
    </row>
    <row r="134" spans="1:2" ht="33">
      <c r="A134" s="43" t="s">
        <v>431</v>
      </c>
      <c r="B134" s="25" t="s">
        <v>432</v>
      </c>
    </row>
    <row r="135" spans="1:2" ht="39.95" customHeight="1">
      <c r="A135" s="43" t="s">
        <v>419</v>
      </c>
      <c r="B135" s="25" t="s">
        <v>410</v>
      </c>
    </row>
    <row r="136" spans="1:2" ht="69" customHeight="1">
      <c r="A136" s="43" t="s">
        <v>417</v>
      </c>
      <c r="B136" s="25" t="s">
        <v>418</v>
      </c>
    </row>
    <row r="137" spans="1:2" ht="76.5" customHeight="1">
      <c r="A137" s="43" t="s">
        <v>414</v>
      </c>
      <c r="B137" s="25" t="s">
        <v>408</v>
      </c>
    </row>
    <row r="138" spans="1:2" ht="125.25" customHeight="1">
      <c r="A138" s="43" t="s">
        <v>413</v>
      </c>
      <c r="B138" s="25" t="s">
        <v>403</v>
      </c>
    </row>
    <row r="139" spans="1:2" ht="123" customHeight="1">
      <c r="A139" s="43" t="s">
        <v>640</v>
      </c>
      <c r="B139" s="25" t="s">
        <v>641</v>
      </c>
    </row>
    <row r="140" spans="1:2" ht="120" customHeight="1">
      <c r="A140" s="43" t="s">
        <v>642</v>
      </c>
      <c r="B140" s="25" t="s">
        <v>643</v>
      </c>
    </row>
    <row r="141" spans="1:2" ht="49.5" customHeight="1">
      <c r="A141" s="141" t="s">
        <v>681</v>
      </c>
      <c r="B141" s="25" t="s">
        <v>683</v>
      </c>
    </row>
    <row r="142" spans="1:2" ht="57" customHeight="1">
      <c r="A142" s="43" t="s">
        <v>680</v>
      </c>
      <c r="B142" s="25" t="s">
        <v>684</v>
      </c>
    </row>
    <row r="143" spans="1:2" ht="53.25" customHeight="1">
      <c r="A143" s="43" t="s">
        <v>682</v>
      </c>
      <c r="B143" s="25" t="s">
        <v>685</v>
      </c>
    </row>
    <row r="144" spans="1:2" ht="33">
      <c r="A144" s="43" t="s">
        <v>24</v>
      </c>
      <c r="B144" s="25" t="s">
        <v>25</v>
      </c>
    </row>
    <row r="145" spans="1:2" ht="73.5" customHeight="1">
      <c r="A145" s="43" t="s">
        <v>449</v>
      </c>
      <c r="B145" s="25" t="s">
        <v>426</v>
      </c>
    </row>
    <row r="146" spans="1:2" ht="12.75">
      <c r="A146" s="43" t="s">
        <v>26</v>
      </c>
      <c r="B146" s="25" t="s">
        <v>27</v>
      </c>
    </row>
    <row r="147" spans="1:2" ht="33">
      <c r="A147" s="43" t="s">
        <v>28</v>
      </c>
      <c r="B147" s="25" t="s">
        <v>29</v>
      </c>
    </row>
    <row r="148" spans="1:2" ht="53.25" customHeight="1">
      <c r="A148" s="43" t="s">
        <v>652</v>
      </c>
      <c r="B148" s="25" t="s">
        <v>653</v>
      </c>
    </row>
    <row r="149" spans="1:2" ht="121.5" customHeight="1">
      <c r="A149" s="43" t="s">
        <v>427</v>
      </c>
      <c r="B149" s="25" t="s">
        <v>428</v>
      </c>
    </row>
    <row r="150" spans="1:2" ht="33">
      <c r="A150" s="48" t="s">
        <v>30</v>
      </c>
      <c r="B150" s="34" t="s">
        <v>31</v>
      </c>
    </row>
    <row r="151" spans="1:2" ht="33">
      <c r="A151" s="43" t="s">
        <v>32</v>
      </c>
      <c r="B151" s="25" t="s">
        <v>33</v>
      </c>
    </row>
    <row r="152" spans="1:2" ht="49.5">
      <c r="A152" s="43" t="s">
        <v>34</v>
      </c>
      <c r="B152" s="25" t="s">
        <v>624</v>
      </c>
    </row>
    <row r="153" spans="1:2" ht="33">
      <c r="A153" s="43" t="s">
        <v>35</v>
      </c>
      <c r="B153" s="25" t="s">
        <v>36</v>
      </c>
    </row>
    <row r="154" spans="1:2" ht="33">
      <c r="A154" s="43" t="s">
        <v>37</v>
      </c>
      <c r="B154" s="25" t="s">
        <v>38</v>
      </c>
    </row>
    <row r="155" spans="1:2" ht="33">
      <c r="A155" s="43" t="s">
        <v>39</v>
      </c>
      <c r="B155" s="45" t="s">
        <v>40</v>
      </c>
    </row>
    <row r="156" spans="1:2" ht="12.75">
      <c r="A156" s="43" t="s">
        <v>41</v>
      </c>
      <c r="B156" s="45" t="s">
        <v>42</v>
      </c>
    </row>
    <row r="157" spans="1:2" ht="54" customHeight="1">
      <c r="A157" s="43" t="s">
        <v>646</v>
      </c>
      <c r="B157" s="40" t="s">
        <v>647</v>
      </c>
    </row>
    <row r="158" spans="1:2" ht="37.5" customHeight="1">
      <c r="A158" s="43" t="s">
        <v>43</v>
      </c>
      <c r="B158" s="45" t="s">
        <v>625</v>
      </c>
    </row>
    <row r="159" spans="1:2" ht="33">
      <c r="A159" s="43" t="s">
        <v>44</v>
      </c>
      <c r="B159" s="45" t="s">
        <v>45</v>
      </c>
    </row>
    <row r="160" spans="1:2" ht="12.75">
      <c r="A160" s="43" t="s">
        <v>46</v>
      </c>
      <c r="B160" s="45" t="s">
        <v>372</v>
      </c>
    </row>
    <row r="161" spans="1:2" ht="33">
      <c r="A161" s="43" t="s">
        <v>47</v>
      </c>
      <c r="B161" s="45" t="s">
        <v>348</v>
      </c>
    </row>
    <row r="162" spans="1:2" ht="12.75">
      <c r="A162" s="43" t="s">
        <v>48</v>
      </c>
      <c r="B162" s="45" t="s">
        <v>49</v>
      </c>
    </row>
    <row r="163" spans="1:2" ht="33">
      <c r="A163" s="43" t="s">
        <v>50</v>
      </c>
      <c r="B163" s="45" t="s">
        <v>51</v>
      </c>
    </row>
    <row r="164" spans="1:2" ht="12.75">
      <c r="A164" s="43" t="s">
        <v>52</v>
      </c>
      <c r="B164" s="45" t="s">
        <v>53</v>
      </c>
    </row>
    <row r="165" spans="1:2" ht="33">
      <c r="A165" s="43" t="s">
        <v>54</v>
      </c>
      <c r="B165" s="45" t="s">
        <v>55</v>
      </c>
    </row>
    <row r="166" spans="1:2" ht="42.75" customHeight="1">
      <c r="A166" s="43" t="s">
        <v>439</v>
      </c>
      <c r="B166" s="45" t="s">
        <v>440</v>
      </c>
    </row>
    <row r="167" spans="1:2" ht="87" customHeight="1">
      <c r="A167" s="43" t="s">
        <v>424</v>
      </c>
      <c r="B167" s="45" t="s">
        <v>425</v>
      </c>
    </row>
    <row r="168" spans="1:2" ht="12.75">
      <c r="A168" s="43" t="s">
        <v>56</v>
      </c>
      <c r="B168" s="45" t="s">
        <v>57</v>
      </c>
    </row>
    <row r="169" spans="1:2" ht="12.75">
      <c r="A169" s="43" t="s">
        <v>58</v>
      </c>
      <c r="B169" s="45" t="s">
        <v>59</v>
      </c>
    </row>
    <row r="170" spans="1:2" ht="33">
      <c r="A170" s="43" t="s">
        <v>60</v>
      </c>
      <c r="B170" s="45" t="s">
        <v>61</v>
      </c>
    </row>
    <row r="171" spans="1:2" ht="55.5" customHeight="1">
      <c r="A171" s="43" t="s">
        <v>673</v>
      </c>
      <c r="B171" s="45" t="s">
        <v>674</v>
      </c>
    </row>
    <row r="172" spans="1:2" ht="33">
      <c r="A172" s="43" t="s">
        <v>62</v>
      </c>
      <c r="B172" s="51" t="s">
        <v>63</v>
      </c>
    </row>
    <row r="173" spans="1:2" ht="33">
      <c r="A173" s="43" t="s">
        <v>64</v>
      </c>
      <c r="B173" s="51" t="s">
        <v>65</v>
      </c>
    </row>
    <row r="174" spans="1:2" ht="33">
      <c r="A174" s="43" t="s">
        <v>66</v>
      </c>
      <c r="B174" s="51" t="s">
        <v>67</v>
      </c>
    </row>
    <row r="175" spans="1:2" ht="33">
      <c r="A175" s="43" t="s">
        <v>68</v>
      </c>
      <c r="B175" s="51" t="s">
        <v>69</v>
      </c>
    </row>
    <row r="176" spans="1:2" ht="49.5">
      <c r="A176" s="50" t="s">
        <v>70</v>
      </c>
      <c r="B176" s="60" t="s">
        <v>71</v>
      </c>
    </row>
    <row r="177" spans="1:2" ht="33">
      <c r="A177" s="50" t="s">
        <v>72</v>
      </c>
      <c r="B177" s="60" t="s">
        <v>339</v>
      </c>
    </row>
    <row r="178" spans="1:2" ht="12.75">
      <c r="A178" s="50" t="s">
        <v>73</v>
      </c>
      <c r="B178" s="60" t="s">
        <v>349</v>
      </c>
    </row>
    <row r="179" spans="1:2" ht="12.75">
      <c r="A179" s="50" t="s">
        <v>75</v>
      </c>
      <c r="B179" s="60" t="s">
        <v>268</v>
      </c>
    </row>
    <row r="180" spans="1:2" ht="12.75">
      <c r="A180" s="50" t="s">
        <v>76</v>
      </c>
      <c r="B180" s="60" t="s">
        <v>350</v>
      </c>
    </row>
    <row r="181" spans="1:2" ht="12.75">
      <c r="A181" s="50" t="s">
        <v>77</v>
      </c>
      <c r="B181" s="60" t="s">
        <v>74</v>
      </c>
    </row>
    <row r="182" spans="1:2" ht="12.75">
      <c r="A182" s="50" t="s">
        <v>602</v>
      </c>
      <c r="B182" s="60" t="s">
        <v>603</v>
      </c>
    </row>
    <row r="183" spans="1:2" ht="12.75">
      <c r="A183" s="50" t="s">
        <v>632</v>
      </c>
      <c r="B183" s="60" t="s">
        <v>649</v>
      </c>
    </row>
    <row r="184" spans="1:2" ht="12.75">
      <c r="A184" s="50" t="s">
        <v>662</v>
      </c>
      <c r="B184" s="60" t="s">
        <v>663</v>
      </c>
    </row>
    <row r="185" spans="1:2" ht="33">
      <c r="A185" s="50" t="s">
        <v>664</v>
      </c>
      <c r="B185" s="60" t="s">
        <v>665</v>
      </c>
    </row>
    <row r="186" spans="1:2" ht="12.75">
      <c r="A186" s="50" t="s">
        <v>666</v>
      </c>
      <c r="B186" s="60" t="s">
        <v>667</v>
      </c>
    </row>
    <row r="187" spans="1:2" ht="12.75">
      <c r="A187" s="50" t="s">
        <v>668</v>
      </c>
      <c r="B187" s="60" t="s">
        <v>669</v>
      </c>
    </row>
    <row r="188" spans="1:2" ht="12.75">
      <c r="A188" s="50" t="s">
        <v>670</v>
      </c>
      <c r="B188" s="60" t="s">
        <v>671</v>
      </c>
    </row>
    <row r="189" spans="1:2" ht="12.75">
      <c r="A189" s="50" t="s">
        <v>78</v>
      </c>
      <c r="B189" s="60" t="s">
        <v>340</v>
      </c>
    </row>
    <row r="190" spans="1:2" ht="49.5">
      <c r="A190" s="43" t="s">
        <v>79</v>
      </c>
      <c r="B190" s="3" t="s">
        <v>80</v>
      </c>
    </row>
    <row r="191" spans="1:2" ht="43.5" customHeight="1">
      <c r="A191" s="43" t="s">
        <v>654</v>
      </c>
      <c r="B191" s="3" t="s">
        <v>655</v>
      </c>
    </row>
    <row r="192" spans="1:2" ht="33">
      <c r="A192" s="43" t="s">
        <v>81</v>
      </c>
      <c r="B192" s="51" t="s">
        <v>82</v>
      </c>
    </row>
    <row r="193" spans="1:2" ht="12.75">
      <c r="A193" s="43" t="s">
        <v>83</v>
      </c>
      <c r="B193" s="51" t="s">
        <v>84</v>
      </c>
    </row>
    <row r="194" spans="1:2" ht="33">
      <c r="A194" s="43" t="s">
        <v>85</v>
      </c>
      <c r="B194" s="45" t="s">
        <v>86</v>
      </c>
    </row>
    <row r="195" spans="1:2" ht="12.75">
      <c r="A195" s="43" t="s">
        <v>87</v>
      </c>
      <c r="B195" s="45" t="s">
        <v>88</v>
      </c>
    </row>
    <row r="196" spans="1:2" ht="12.75">
      <c r="A196" s="43" t="s">
        <v>89</v>
      </c>
      <c r="B196" s="45" t="s">
        <v>90</v>
      </c>
    </row>
    <row r="197" spans="1:2" ht="12.75">
      <c r="A197" s="43" t="s">
        <v>91</v>
      </c>
      <c r="B197" s="45" t="s">
        <v>92</v>
      </c>
    </row>
    <row r="198" spans="1:2" ht="12.75">
      <c r="A198" s="43" t="s">
        <v>93</v>
      </c>
      <c r="B198" s="45" t="s">
        <v>94</v>
      </c>
    </row>
    <row r="199" spans="1:2" ht="33">
      <c r="A199" s="43" t="s">
        <v>95</v>
      </c>
      <c r="B199" s="45" t="s">
        <v>96</v>
      </c>
    </row>
    <row r="200" spans="1:2" ht="33">
      <c r="A200" s="43" t="s">
        <v>97</v>
      </c>
      <c r="B200" s="45" t="s">
        <v>98</v>
      </c>
    </row>
    <row r="201" spans="1:2" ht="12.75">
      <c r="A201" s="43" t="s">
        <v>99</v>
      </c>
      <c r="B201" s="45" t="s">
        <v>100</v>
      </c>
    </row>
    <row r="202" spans="1:2" ht="12.75">
      <c r="A202" s="43" t="s">
        <v>101</v>
      </c>
      <c r="B202" s="45" t="s">
        <v>102</v>
      </c>
    </row>
    <row r="203" spans="1:2" ht="12.75">
      <c r="A203" s="43" t="s">
        <v>103</v>
      </c>
      <c r="B203" s="45" t="s">
        <v>104</v>
      </c>
    </row>
    <row r="204" spans="1:2" ht="12.75">
      <c r="A204" s="43" t="s">
        <v>105</v>
      </c>
      <c r="B204" s="45" t="s">
        <v>106</v>
      </c>
    </row>
    <row r="205" spans="1:2" ht="33">
      <c r="A205" s="43" t="s">
        <v>107</v>
      </c>
      <c r="B205" s="45" t="s">
        <v>108</v>
      </c>
    </row>
    <row r="206" spans="1:2" ht="39" customHeight="1">
      <c r="A206" s="48" t="s">
        <v>109</v>
      </c>
      <c r="B206" s="57" t="s">
        <v>659</v>
      </c>
    </row>
    <row r="207" spans="1:2" ht="12.75">
      <c r="A207" s="43" t="s">
        <v>110</v>
      </c>
      <c r="B207" s="45" t="s">
        <v>122</v>
      </c>
    </row>
    <row r="208" spans="1:2" ht="33">
      <c r="A208" s="43" t="s">
        <v>123</v>
      </c>
      <c r="B208" s="45" t="s">
        <v>124</v>
      </c>
    </row>
    <row r="209" spans="1:2" ht="12.75">
      <c r="A209" s="43" t="s">
        <v>125</v>
      </c>
      <c r="B209" s="45" t="s">
        <v>660</v>
      </c>
    </row>
    <row r="210" spans="1:2" ht="33">
      <c r="A210" s="43" t="s">
        <v>126</v>
      </c>
      <c r="B210" s="45" t="s">
        <v>380</v>
      </c>
    </row>
    <row r="211" spans="1:2" ht="33">
      <c r="A211" s="43" t="s">
        <v>127</v>
      </c>
      <c r="B211" s="45" t="s">
        <v>128</v>
      </c>
    </row>
    <row r="212" spans="1:2" ht="12.75">
      <c r="A212" s="43" t="s">
        <v>129</v>
      </c>
      <c r="B212" s="45" t="s">
        <v>130</v>
      </c>
    </row>
    <row r="213" spans="1:2" ht="33">
      <c r="A213" s="43" t="s">
        <v>131</v>
      </c>
      <c r="B213" s="45" t="s">
        <v>132</v>
      </c>
    </row>
    <row r="214" spans="1:2" ht="12.75">
      <c r="A214" s="43" t="s">
        <v>133</v>
      </c>
      <c r="B214" s="45" t="s">
        <v>134</v>
      </c>
    </row>
    <row r="215" spans="1:2" ht="33">
      <c r="A215" s="43" t="s">
        <v>135</v>
      </c>
      <c r="B215" s="45" t="s">
        <v>626</v>
      </c>
    </row>
    <row r="216" spans="1:2" ht="12.75">
      <c r="A216" s="43" t="s">
        <v>136</v>
      </c>
      <c r="B216" s="45" t="s">
        <v>137</v>
      </c>
    </row>
    <row r="217" spans="1:2" ht="49.5">
      <c r="A217" s="43" t="s">
        <v>138</v>
      </c>
      <c r="B217" s="45" t="s">
        <v>139</v>
      </c>
    </row>
    <row r="218" spans="1:2" ht="12.75">
      <c r="A218" s="43" t="s">
        <v>140</v>
      </c>
      <c r="B218" s="45" t="s">
        <v>141</v>
      </c>
    </row>
    <row r="219" spans="1:2" ht="12.75">
      <c r="A219" s="43" t="s">
        <v>142</v>
      </c>
      <c r="B219" s="45" t="s">
        <v>143</v>
      </c>
    </row>
    <row r="220" spans="1:2" ht="33">
      <c r="A220" s="43" t="s">
        <v>144</v>
      </c>
      <c r="B220" s="45" t="s">
        <v>145</v>
      </c>
    </row>
    <row r="221" spans="1:2" ht="12.75">
      <c r="A221" s="43" t="s">
        <v>146</v>
      </c>
      <c r="B221" s="45" t="s">
        <v>147</v>
      </c>
    </row>
    <row r="222" spans="1:2" ht="12.75">
      <c r="A222" s="43" t="s">
        <v>148</v>
      </c>
      <c r="B222" s="45" t="s">
        <v>149</v>
      </c>
    </row>
    <row r="223" spans="1:2" ht="12.75">
      <c r="A223" s="43" t="s">
        <v>150</v>
      </c>
      <c r="B223" s="45" t="s">
        <v>151</v>
      </c>
    </row>
    <row r="224" spans="1:2" ht="12.75">
      <c r="A224" s="43" t="s">
        <v>152</v>
      </c>
      <c r="B224" s="45" t="s">
        <v>153</v>
      </c>
    </row>
    <row r="225" spans="1:2" ht="49.5">
      <c r="A225" s="43" t="s">
        <v>154</v>
      </c>
      <c r="B225" s="45" t="s">
        <v>155</v>
      </c>
    </row>
    <row r="226" spans="1:2" ht="49.5">
      <c r="A226" s="43" t="s">
        <v>156</v>
      </c>
      <c r="B226" s="45" t="s">
        <v>157</v>
      </c>
    </row>
    <row r="227" spans="1:2" ht="33">
      <c r="A227" s="43" t="s">
        <v>158</v>
      </c>
      <c r="B227" s="45" t="s">
        <v>159</v>
      </c>
    </row>
    <row r="228" spans="1:2" ht="12.75">
      <c r="A228" s="43" t="s">
        <v>160</v>
      </c>
      <c r="B228" s="25" t="s">
        <v>161</v>
      </c>
    </row>
    <row r="229" spans="1:2" ht="33">
      <c r="A229" s="48" t="s">
        <v>394</v>
      </c>
      <c r="B229" s="34" t="s">
        <v>395</v>
      </c>
    </row>
    <row r="230" spans="1:2" ht="12.75">
      <c r="A230" s="43" t="s">
        <v>162</v>
      </c>
      <c r="B230" s="25" t="s">
        <v>163</v>
      </c>
    </row>
    <row r="231" spans="1:2" ht="33">
      <c r="A231" s="26" t="s">
        <v>396</v>
      </c>
      <c r="B231" s="25" t="s">
        <v>397</v>
      </c>
    </row>
    <row r="232" spans="1:2" ht="12.75">
      <c r="A232" s="26" t="s">
        <v>164</v>
      </c>
      <c r="B232" s="25" t="s">
        <v>165</v>
      </c>
    </row>
    <row r="233" spans="1:2" ht="49.5">
      <c r="A233" s="26" t="s">
        <v>166</v>
      </c>
      <c r="B233" s="25" t="s">
        <v>167</v>
      </c>
    </row>
    <row r="234" spans="1:2" ht="12.75">
      <c r="A234" s="26" t="s">
        <v>307</v>
      </c>
      <c r="B234" s="25" t="s">
        <v>308</v>
      </c>
    </row>
    <row r="235" spans="1:2" ht="12.75">
      <c r="A235" s="26" t="s">
        <v>309</v>
      </c>
      <c r="B235" s="25" t="s">
        <v>310</v>
      </c>
    </row>
    <row r="236" spans="1:2" ht="33">
      <c r="A236" s="26" t="s">
        <v>311</v>
      </c>
      <c r="B236" s="25" t="s">
        <v>312</v>
      </c>
    </row>
    <row r="237" spans="1:2" ht="12.75">
      <c r="A237" s="26" t="s">
        <v>313</v>
      </c>
      <c r="B237" s="25" t="s">
        <v>242</v>
      </c>
    </row>
    <row r="238" spans="1:2" ht="12.75">
      <c r="A238" s="26" t="s">
        <v>314</v>
      </c>
      <c r="B238" s="25" t="s">
        <v>244</v>
      </c>
    </row>
    <row r="239" spans="1:2" ht="12.75">
      <c r="A239" s="26" t="s">
        <v>315</v>
      </c>
      <c r="B239" s="25" t="s">
        <v>177</v>
      </c>
    </row>
    <row r="240" spans="1:2" ht="12.75">
      <c r="A240" s="26" t="s">
        <v>316</v>
      </c>
      <c r="B240" s="25" t="s">
        <v>178</v>
      </c>
    </row>
    <row r="241" spans="1:2" ht="38.25" customHeight="1">
      <c r="A241" s="26" t="s">
        <v>599</v>
      </c>
      <c r="B241" s="25" t="s">
        <v>600</v>
      </c>
    </row>
    <row r="242" spans="1:2" ht="33">
      <c r="A242" s="26" t="s">
        <v>317</v>
      </c>
      <c r="B242" s="25" t="s">
        <v>318</v>
      </c>
    </row>
    <row r="243" spans="1:2" ht="12.75">
      <c r="A243" s="26" t="s">
        <v>319</v>
      </c>
      <c r="B243" s="25" t="s">
        <v>320</v>
      </c>
    </row>
    <row r="244" spans="1:2" ht="12.75">
      <c r="A244" s="26" t="s">
        <v>321</v>
      </c>
      <c r="B244" s="25" t="s">
        <v>246</v>
      </c>
    </row>
    <row r="245" spans="1:2" ht="12.75">
      <c r="A245" s="23" t="s">
        <v>450</v>
      </c>
      <c r="B245" s="60" t="s">
        <v>208</v>
      </c>
    </row>
    <row r="246" spans="1:2" ht="12.75">
      <c r="A246" s="23" t="s">
        <v>451</v>
      </c>
      <c r="B246" s="60" t="s">
        <v>209</v>
      </c>
    </row>
    <row r="247" spans="1:2" ht="12.75">
      <c r="A247" s="23" t="s">
        <v>322</v>
      </c>
      <c r="B247" s="60" t="s">
        <v>214</v>
      </c>
    </row>
    <row r="248" spans="1:2" ht="12.75">
      <c r="A248" s="23" t="s">
        <v>323</v>
      </c>
      <c r="B248" s="61" t="s">
        <v>215</v>
      </c>
    </row>
    <row r="249" spans="1:2" ht="12.75">
      <c r="A249" s="23" t="s">
        <v>345</v>
      </c>
      <c r="B249" s="60" t="s">
        <v>375</v>
      </c>
    </row>
    <row r="250" spans="1:2" ht="12.75">
      <c r="A250" s="23" t="s">
        <v>378</v>
      </c>
      <c r="B250" s="61" t="s">
        <v>376</v>
      </c>
    </row>
    <row r="251" spans="1:2" ht="12.75">
      <c r="A251" s="23" t="s">
        <v>390</v>
      </c>
      <c r="B251" s="60" t="s">
        <v>377</v>
      </c>
    </row>
    <row r="252" spans="1:2" ht="12.75">
      <c r="A252" s="26" t="s">
        <v>379</v>
      </c>
      <c r="B252" s="60" t="s">
        <v>381</v>
      </c>
    </row>
    <row r="253" spans="1:2" ht="54" customHeight="1">
      <c r="A253" s="23" t="s">
        <v>638</v>
      </c>
      <c r="B253" s="60" t="s">
        <v>639</v>
      </c>
    </row>
    <row r="254" spans="1:2" ht="55.5" customHeight="1">
      <c r="A254" s="23" t="s">
        <v>391</v>
      </c>
      <c r="B254" s="60" t="s">
        <v>406</v>
      </c>
    </row>
    <row r="255" spans="1:2" ht="40.5" customHeight="1">
      <c r="A255" s="23" t="s">
        <v>409</v>
      </c>
      <c r="B255" s="60" t="s">
        <v>410</v>
      </c>
    </row>
    <row r="256" spans="1:2" ht="40.5" customHeight="1">
      <c r="A256" s="23" t="s">
        <v>636</v>
      </c>
      <c r="B256" s="60" t="s">
        <v>637</v>
      </c>
    </row>
    <row r="257" spans="1:2" ht="111" customHeight="1">
      <c r="A257" s="23" t="s">
        <v>398</v>
      </c>
      <c r="B257" s="60" t="s">
        <v>399</v>
      </c>
    </row>
    <row r="258" spans="1:2" ht="78" customHeight="1">
      <c r="A258" s="23" t="s">
        <v>407</v>
      </c>
      <c r="B258" s="60" t="s">
        <v>408</v>
      </c>
    </row>
    <row r="259" spans="1:2" ht="133.5" customHeight="1">
      <c r="A259" s="23" t="s">
        <v>402</v>
      </c>
      <c r="B259" s="60" t="s">
        <v>403</v>
      </c>
    </row>
    <row r="260" spans="1:2" ht="102.75" customHeight="1">
      <c r="A260" s="23" t="s">
        <v>384</v>
      </c>
      <c r="B260" s="60" t="s">
        <v>447</v>
      </c>
    </row>
    <row r="261" spans="1:2" ht="114.75" customHeight="1">
      <c r="A261" s="47" t="s">
        <v>385</v>
      </c>
      <c r="B261" s="62" t="s">
        <v>448</v>
      </c>
    </row>
    <row r="262" spans="1:2" ht="141.75" customHeight="1">
      <c r="A262" s="47" t="s">
        <v>386</v>
      </c>
      <c r="B262" s="62" t="s">
        <v>387</v>
      </c>
    </row>
    <row r="263" spans="1:2" ht="90" customHeight="1">
      <c r="A263" s="23" t="s">
        <v>411</v>
      </c>
      <c r="B263" s="60" t="s">
        <v>412</v>
      </c>
    </row>
    <row r="264" spans="1:2" ht="72" customHeight="1">
      <c r="A264" s="23" t="s">
        <v>415</v>
      </c>
      <c r="B264" s="60" t="s">
        <v>416</v>
      </c>
    </row>
    <row r="265" spans="1:2" ht="88.7" customHeight="1">
      <c r="A265" s="23" t="s">
        <v>388</v>
      </c>
      <c r="B265" s="60" t="s">
        <v>389</v>
      </c>
    </row>
    <row r="266" spans="1:2" ht="87" customHeight="1">
      <c r="A266" s="23" t="s">
        <v>400</v>
      </c>
      <c r="B266" s="60" t="s">
        <v>401</v>
      </c>
    </row>
    <row r="267" spans="1:2" ht="126.75" customHeight="1">
      <c r="A267" s="23" t="s">
        <v>429</v>
      </c>
      <c r="B267" s="60" t="s">
        <v>430</v>
      </c>
    </row>
    <row r="268" spans="1:2" ht="33">
      <c r="A268" s="23" t="s">
        <v>452</v>
      </c>
      <c r="B268" s="60" t="s">
        <v>453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2">
      <selection activeCell="A13" sqref="A13"/>
    </sheetView>
  </sheetViews>
  <sheetFormatPr defaultColWidth="9.125" defaultRowHeight="12.75"/>
  <cols>
    <col min="1" max="1" width="9.75390625" style="49" customWidth="1"/>
    <col min="2" max="2" width="101.125" style="49" customWidth="1"/>
    <col min="3" max="16384" width="9.125" style="49" customWidth="1"/>
  </cols>
  <sheetData>
    <row r="1" spans="1:2" ht="12.75">
      <c r="A1" s="27" t="s">
        <v>324</v>
      </c>
      <c r="B1" s="23" t="s">
        <v>217</v>
      </c>
    </row>
    <row r="2" spans="1:2" ht="33">
      <c r="A2" s="50">
        <v>100</v>
      </c>
      <c r="B2" s="45" t="s">
        <v>351</v>
      </c>
    </row>
    <row r="3" spans="1:2" ht="12.75">
      <c r="A3" s="50">
        <v>110</v>
      </c>
      <c r="B3" s="51" t="s">
        <v>338</v>
      </c>
    </row>
    <row r="4" spans="1:2" ht="12.75">
      <c r="A4" s="50">
        <v>120</v>
      </c>
      <c r="B4" s="45" t="s">
        <v>352</v>
      </c>
    </row>
    <row r="5" spans="1:2" ht="12.75">
      <c r="A5" s="50">
        <v>200</v>
      </c>
      <c r="B5" s="45" t="s">
        <v>353</v>
      </c>
    </row>
    <row r="6" spans="1:2" ht="12.75">
      <c r="A6" s="50">
        <v>240</v>
      </c>
      <c r="B6" s="45" t="s">
        <v>325</v>
      </c>
    </row>
    <row r="7" spans="1:2" ht="12.75">
      <c r="A7" s="50">
        <v>241</v>
      </c>
      <c r="B7" s="45" t="s">
        <v>633</v>
      </c>
    </row>
    <row r="8" spans="1:2" ht="12.75">
      <c r="A8" s="50">
        <v>242</v>
      </c>
      <c r="B8" s="45" t="s">
        <v>326</v>
      </c>
    </row>
    <row r="9" spans="1:2" ht="12.75">
      <c r="A9" s="50">
        <v>243</v>
      </c>
      <c r="B9" s="45" t="s">
        <v>327</v>
      </c>
    </row>
    <row r="10" spans="1:2" ht="12.75">
      <c r="A10" s="50">
        <v>244</v>
      </c>
      <c r="B10" s="45" t="s">
        <v>354</v>
      </c>
    </row>
    <row r="11" spans="1:2" ht="12.75">
      <c r="A11" s="50">
        <v>300</v>
      </c>
      <c r="B11" s="45" t="s">
        <v>355</v>
      </c>
    </row>
    <row r="12" spans="1:2" ht="12.75">
      <c r="A12" s="50">
        <v>310</v>
      </c>
      <c r="B12" s="45" t="s">
        <v>356</v>
      </c>
    </row>
    <row r="13" spans="1:2" ht="33">
      <c r="A13" s="52">
        <v>313</v>
      </c>
      <c r="B13" s="45" t="s">
        <v>328</v>
      </c>
    </row>
    <row r="14" spans="1:2" ht="12.75">
      <c r="A14" s="50">
        <v>320</v>
      </c>
      <c r="B14" s="45" t="s">
        <v>357</v>
      </c>
    </row>
    <row r="15" spans="1:2" ht="33">
      <c r="A15" s="50">
        <v>321</v>
      </c>
      <c r="B15" s="53" t="s">
        <v>329</v>
      </c>
    </row>
    <row r="16" spans="1:2" ht="12.75">
      <c r="A16" s="50">
        <v>322</v>
      </c>
      <c r="B16" s="45" t="s">
        <v>330</v>
      </c>
    </row>
    <row r="17" spans="1:2" ht="12.75">
      <c r="A17" s="50">
        <v>323</v>
      </c>
      <c r="B17" s="45" t="s">
        <v>331</v>
      </c>
    </row>
    <row r="18" spans="1:2" ht="12.75">
      <c r="A18" s="54">
        <v>340</v>
      </c>
      <c r="B18" s="55" t="s">
        <v>332</v>
      </c>
    </row>
    <row r="19" spans="1:2" ht="12.75">
      <c r="A19" s="54">
        <v>350</v>
      </c>
      <c r="B19" s="55" t="s">
        <v>333</v>
      </c>
    </row>
    <row r="20" spans="1:2" ht="12.75">
      <c r="A20" s="50">
        <v>360</v>
      </c>
      <c r="B20" s="45" t="s">
        <v>358</v>
      </c>
    </row>
    <row r="21" spans="1:2" ht="12.75">
      <c r="A21" s="50">
        <v>400</v>
      </c>
      <c r="B21" s="45" t="s">
        <v>359</v>
      </c>
    </row>
    <row r="22" spans="1:2" ht="12.75">
      <c r="A22" s="50">
        <v>410</v>
      </c>
      <c r="B22" s="45" t="s">
        <v>360</v>
      </c>
    </row>
    <row r="23" spans="1:2" ht="12.75">
      <c r="A23" s="50">
        <v>414</v>
      </c>
      <c r="B23" s="45" t="s">
        <v>334</v>
      </c>
    </row>
    <row r="24" spans="1:2" ht="33">
      <c r="A24" s="56">
        <v>600</v>
      </c>
      <c r="B24" s="57" t="s">
        <v>361</v>
      </c>
    </row>
    <row r="25" spans="1:2" ht="12.75">
      <c r="A25" s="56">
        <v>610</v>
      </c>
      <c r="B25" s="34" t="s">
        <v>362</v>
      </c>
    </row>
    <row r="26" spans="1:2" ht="33">
      <c r="A26" s="50">
        <v>611</v>
      </c>
      <c r="B26" s="45" t="s">
        <v>240</v>
      </c>
    </row>
    <row r="27" spans="1:2" ht="12.75">
      <c r="A27" s="50">
        <v>612</v>
      </c>
      <c r="B27" s="45" t="s">
        <v>239</v>
      </c>
    </row>
    <row r="28" spans="1:2" ht="12.75">
      <c r="A28" s="50">
        <v>620</v>
      </c>
      <c r="B28" s="45" t="s">
        <v>363</v>
      </c>
    </row>
    <row r="29" spans="1:2" ht="33">
      <c r="A29" s="50">
        <v>621</v>
      </c>
      <c r="B29" s="45" t="s">
        <v>462</v>
      </c>
    </row>
    <row r="30" spans="1:2" ht="12.75">
      <c r="A30" s="50">
        <v>622</v>
      </c>
      <c r="B30" s="45" t="s">
        <v>181</v>
      </c>
    </row>
    <row r="31" spans="1:2" ht="33">
      <c r="A31" s="50">
        <v>630</v>
      </c>
      <c r="B31" s="45" t="s">
        <v>364</v>
      </c>
    </row>
    <row r="32" spans="1:2" ht="12.75">
      <c r="A32" s="50">
        <v>700</v>
      </c>
      <c r="B32" s="45" t="s">
        <v>371</v>
      </c>
    </row>
    <row r="33" spans="1:2" ht="12.75">
      <c r="A33" s="50">
        <v>730</v>
      </c>
      <c r="B33" s="45" t="s">
        <v>335</v>
      </c>
    </row>
    <row r="34" spans="1:2" ht="12.75">
      <c r="A34" s="50">
        <v>800</v>
      </c>
      <c r="B34" s="45" t="s">
        <v>365</v>
      </c>
    </row>
    <row r="35" spans="1:2" ht="33">
      <c r="A35" s="50">
        <v>810</v>
      </c>
      <c r="B35" s="45" t="s">
        <v>336</v>
      </c>
    </row>
    <row r="36" spans="1:2" ht="12.75">
      <c r="A36" s="50">
        <v>830</v>
      </c>
      <c r="B36" s="45" t="s">
        <v>366</v>
      </c>
    </row>
    <row r="37" spans="1:2" ht="66">
      <c r="A37" s="50">
        <v>831</v>
      </c>
      <c r="B37" s="45" t="s">
        <v>382</v>
      </c>
    </row>
    <row r="38" spans="1:2" ht="12.75">
      <c r="A38" s="50">
        <v>850</v>
      </c>
      <c r="B38" s="45" t="s">
        <v>367</v>
      </c>
    </row>
    <row r="39" spans="1:2" ht="12.75">
      <c r="A39" s="23">
        <v>851</v>
      </c>
      <c r="B39" s="25" t="s">
        <v>368</v>
      </c>
    </row>
    <row r="40" spans="1:2" ht="12.75">
      <c r="A40" s="54">
        <v>852</v>
      </c>
      <c r="B40" s="55" t="s">
        <v>337</v>
      </c>
    </row>
    <row r="41" spans="1:2" ht="33">
      <c r="A41" s="54">
        <v>860</v>
      </c>
      <c r="B41" s="40" t="s">
        <v>454</v>
      </c>
    </row>
    <row r="42" spans="1:2" ht="12.75">
      <c r="A42" s="54">
        <v>862</v>
      </c>
      <c r="B42" s="40" t="s">
        <v>455</v>
      </c>
    </row>
    <row r="43" spans="1:2" ht="12.75">
      <c r="A43" s="23">
        <v>870</v>
      </c>
      <c r="B43" s="25" t="s">
        <v>370</v>
      </c>
    </row>
  </sheetData>
  <dataValidations count="1">
    <dataValidation type="list" allowBlank="1" showInputMessage="1" showErrorMessage="1" sqref="B44:B65537">
      <formula1>$A$2:$A$40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Zeros="0" view="pageBreakPreview" zoomScale="80" zoomScaleSheetLayoutView="80" workbookViewId="0" topLeftCell="A34">
      <selection activeCell="B81" sqref="B81"/>
    </sheetView>
  </sheetViews>
  <sheetFormatPr defaultColWidth="9.125" defaultRowHeight="12.75"/>
  <cols>
    <col min="1" max="1" width="81.875" style="81" customWidth="1"/>
    <col min="2" max="2" width="14.125" style="89" customWidth="1"/>
    <col min="3" max="3" width="13.625" style="89" customWidth="1"/>
    <col min="4" max="4" width="22.00390625" style="89" hidden="1" customWidth="1"/>
    <col min="5" max="5" width="16.00390625" style="89" hidden="1" customWidth="1"/>
    <col min="6" max="6" width="18.00390625" style="89" hidden="1" customWidth="1"/>
    <col min="7" max="7" width="20.875" style="89" hidden="1" customWidth="1"/>
    <col min="8" max="8" width="21.75390625" style="89" hidden="1" customWidth="1"/>
    <col min="9" max="9" width="24.875" style="89" hidden="1" customWidth="1"/>
    <col min="10" max="10" width="19.625" style="89" hidden="1" customWidth="1"/>
    <col min="11" max="11" width="13.625" style="89" hidden="1" customWidth="1"/>
    <col min="12" max="12" width="22.00390625" style="89" hidden="1" customWidth="1"/>
    <col min="13" max="13" width="15.375" style="89" hidden="1" customWidth="1"/>
    <col min="14" max="14" width="22.00390625" style="89" customWidth="1"/>
    <col min="15" max="15" width="21.75390625" style="89" customWidth="1"/>
    <col min="16" max="16" width="29.00390625" style="89" customWidth="1"/>
    <col min="17" max="17" width="13.375" style="89" bestFit="1" customWidth="1"/>
    <col min="18" max="16384" width="9.125" style="89" customWidth="1"/>
  </cols>
  <sheetData>
    <row r="1" spans="3:23" ht="12.75">
      <c r="C1" s="74"/>
      <c r="D1" s="74"/>
      <c r="E1" s="74"/>
      <c r="F1" s="74"/>
      <c r="N1" s="74"/>
      <c r="O1" s="74"/>
      <c r="P1" s="74" t="s">
        <v>648</v>
      </c>
      <c r="Q1" s="74"/>
      <c r="R1" s="110"/>
      <c r="S1" s="110"/>
      <c r="T1" s="110"/>
      <c r="U1" s="110"/>
      <c r="V1" s="110"/>
      <c r="W1" s="110"/>
    </row>
    <row r="2" spans="14:23" ht="12.75">
      <c r="N2" s="110"/>
      <c r="O2" s="110"/>
      <c r="P2" s="114" t="s">
        <v>276</v>
      </c>
      <c r="Q2" s="110"/>
      <c r="R2" s="110"/>
      <c r="S2" s="110"/>
      <c r="T2" s="110"/>
      <c r="U2" s="110"/>
      <c r="V2" s="110"/>
      <c r="W2" s="110"/>
    </row>
    <row r="3" spans="14:23" ht="12.75">
      <c r="N3" s="110"/>
      <c r="O3" s="110"/>
      <c r="P3" s="114" t="s">
        <v>265</v>
      </c>
      <c r="Q3" s="110"/>
      <c r="R3" s="110"/>
      <c r="S3" s="110"/>
      <c r="T3" s="110"/>
      <c r="U3" s="110"/>
      <c r="V3" s="110"/>
      <c r="W3" s="110"/>
    </row>
    <row r="4" spans="2:23" ht="12.75">
      <c r="B4" s="21"/>
      <c r="N4" s="110"/>
      <c r="O4" s="110"/>
      <c r="P4" s="131" t="s">
        <v>677</v>
      </c>
      <c r="Q4" s="110"/>
      <c r="R4" s="110"/>
      <c r="S4" s="110"/>
      <c r="T4" s="110"/>
      <c r="U4" s="110"/>
      <c r="V4" s="110"/>
      <c r="W4" s="110"/>
    </row>
    <row r="5" spans="2:23" ht="12.75">
      <c r="B5" s="21"/>
      <c r="C5" s="66"/>
      <c r="D5" s="66"/>
      <c r="E5" s="66"/>
      <c r="F5" s="66"/>
      <c r="N5" s="66"/>
      <c r="O5" s="66"/>
      <c r="P5" s="66"/>
      <c r="Q5" s="66"/>
      <c r="R5" s="110"/>
      <c r="S5" s="110"/>
      <c r="T5" s="110"/>
      <c r="U5" s="110"/>
      <c r="V5" s="110"/>
      <c r="W5" s="110"/>
    </row>
    <row r="6" spans="2:23" ht="12.75">
      <c r="B6" s="21"/>
      <c r="C6" s="66"/>
      <c r="D6" s="66"/>
      <c r="E6" s="66"/>
      <c r="F6" s="66"/>
      <c r="N6" s="66"/>
      <c r="O6" s="66"/>
      <c r="P6" s="66"/>
      <c r="Q6" s="66"/>
      <c r="R6" s="110"/>
      <c r="S6" s="110"/>
      <c r="T6" s="110"/>
      <c r="U6" s="110"/>
      <c r="V6" s="110"/>
      <c r="W6" s="110"/>
    </row>
    <row r="7" spans="2:23" ht="12.75">
      <c r="B7" s="21"/>
      <c r="C7" s="74"/>
      <c r="D7" s="74"/>
      <c r="E7" s="74"/>
      <c r="F7" s="74"/>
      <c r="N7" s="74"/>
      <c r="O7" s="74"/>
      <c r="P7" s="74" t="s">
        <v>271</v>
      </c>
      <c r="Q7" s="74"/>
      <c r="R7" s="110"/>
      <c r="S7" s="110"/>
      <c r="T7" s="110"/>
      <c r="U7" s="110"/>
      <c r="V7" s="110"/>
      <c r="W7" s="110"/>
    </row>
    <row r="8" spans="2:23" ht="12.75">
      <c r="B8" s="21"/>
      <c r="N8" s="110"/>
      <c r="O8" s="110"/>
      <c r="P8" s="114" t="s">
        <v>276</v>
      </c>
      <c r="Q8" s="110"/>
      <c r="R8" s="110"/>
      <c r="S8" s="110"/>
      <c r="T8" s="110"/>
      <c r="U8" s="110"/>
      <c r="V8" s="110"/>
      <c r="W8" s="110"/>
    </row>
    <row r="9" spans="2:23" ht="12.75">
      <c r="B9" s="21"/>
      <c r="N9" s="110"/>
      <c r="O9" s="110"/>
      <c r="P9" s="114" t="s">
        <v>265</v>
      </c>
      <c r="Q9" s="110"/>
      <c r="R9" s="110"/>
      <c r="S9" s="110"/>
      <c r="T9" s="110"/>
      <c r="U9" s="110"/>
      <c r="V9" s="110"/>
      <c r="W9" s="110"/>
    </row>
    <row r="10" spans="2:23" ht="12.75">
      <c r="B10" s="21"/>
      <c r="N10" s="110"/>
      <c r="O10" s="110"/>
      <c r="P10" s="114" t="s">
        <v>113</v>
      </c>
      <c r="Q10" s="110"/>
      <c r="R10" s="110"/>
      <c r="S10" s="110"/>
      <c r="T10" s="110"/>
      <c r="U10" s="110"/>
      <c r="V10" s="110"/>
      <c r="W10" s="110"/>
    </row>
    <row r="11" spans="3:4" ht="12.75">
      <c r="C11" s="90"/>
      <c r="D11" s="90"/>
    </row>
    <row r="12" ht="12.75">
      <c r="C12" s="15"/>
    </row>
    <row r="13" spans="1:4" ht="12.75">
      <c r="A13" s="148" t="s">
        <v>180</v>
      </c>
      <c r="B13" s="149"/>
      <c r="C13" s="149"/>
      <c r="D13" s="149"/>
    </row>
    <row r="14" spans="1:4" ht="12.75">
      <c r="A14" s="154" t="s">
        <v>277</v>
      </c>
      <c r="B14" s="155"/>
      <c r="C14" s="155"/>
      <c r="D14" s="155"/>
    </row>
    <row r="15" spans="1:3" ht="12.75">
      <c r="A15" s="14"/>
      <c r="B15" s="5"/>
      <c r="C15" s="5"/>
    </row>
    <row r="16" spans="1:24" ht="12.75">
      <c r="A16" s="14"/>
      <c r="B16" s="5"/>
      <c r="C16" s="109"/>
      <c r="D16" s="109"/>
      <c r="E16" s="109"/>
      <c r="F16" s="109"/>
      <c r="G16" s="109"/>
      <c r="H16" s="109"/>
      <c r="I16" s="109"/>
      <c r="J16" s="109"/>
      <c r="K16" s="109"/>
      <c r="L16" s="112"/>
      <c r="M16" s="110"/>
      <c r="N16" s="109"/>
      <c r="O16" s="109"/>
      <c r="P16" s="118" t="s">
        <v>278</v>
      </c>
      <c r="Q16" s="109"/>
      <c r="R16" s="109"/>
      <c r="S16" s="109"/>
      <c r="T16" s="109"/>
      <c r="U16" s="109"/>
      <c r="V16" s="109"/>
      <c r="W16" s="112"/>
      <c r="X16" s="110"/>
    </row>
    <row r="17" spans="1:16" ht="21" customHeight="1">
      <c r="A17" s="150" t="s">
        <v>217</v>
      </c>
      <c r="B17" s="150" t="s">
        <v>218</v>
      </c>
      <c r="C17" s="150" t="s">
        <v>219</v>
      </c>
      <c r="D17" s="152" t="s">
        <v>597</v>
      </c>
      <c r="E17" s="151" t="s">
        <v>596</v>
      </c>
      <c r="F17" s="151" t="s">
        <v>598</v>
      </c>
      <c r="G17" s="151" t="s">
        <v>596</v>
      </c>
      <c r="H17" s="145" t="s">
        <v>631</v>
      </c>
      <c r="I17" s="145" t="s">
        <v>596</v>
      </c>
      <c r="J17" s="145" t="s">
        <v>635</v>
      </c>
      <c r="K17" s="145" t="s">
        <v>596</v>
      </c>
      <c r="L17" s="145" t="s">
        <v>644</v>
      </c>
      <c r="M17" s="145" t="s">
        <v>596</v>
      </c>
      <c r="N17" s="145" t="s">
        <v>650</v>
      </c>
      <c r="O17" s="145" t="s">
        <v>596</v>
      </c>
      <c r="P17" s="145" t="s">
        <v>651</v>
      </c>
    </row>
    <row r="18" spans="1:16" ht="33" customHeight="1">
      <c r="A18" s="151"/>
      <c r="B18" s="151"/>
      <c r="C18" s="150"/>
      <c r="D18" s="153"/>
      <c r="E18" s="153"/>
      <c r="F18" s="153"/>
      <c r="G18" s="153"/>
      <c r="H18" s="147"/>
      <c r="I18" s="147"/>
      <c r="J18" s="147"/>
      <c r="K18" s="147"/>
      <c r="L18" s="146"/>
      <c r="M18" s="146"/>
      <c r="N18" s="146"/>
      <c r="O18" s="146"/>
      <c r="P18" s="146"/>
    </row>
    <row r="19" spans="1:17" ht="12.75">
      <c r="A19" s="12" t="s">
        <v>220</v>
      </c>
      <c r="B19" s="1" t="s">
        <v>221</v>
      </c>
      <c r="C19" s="1"/>
      <c r="D19" s="2">
        <f>SUM(D20:D26)</f>
        <v>406688.20000000007</v>
      </c>
      <c r="E19" s="2">
        <f>SUM(E20:E26)</f>
        <v>-9691.9</v>
      </c>
      <c r="F19" s="36">
        <f>D19+E19</f>
        <v>396996.30000000005</v>
      </c>
      <c r="G19" s="2">
        <f>SUM(G20:G26)</f>
        <v>320.20000000000107</v>
      </c>
      <c r="H19" s="36">
        <f>F19+G19</f>
        <v>397316.50000000006</v>
      </c>
      <c r="I19" s="2">
        <f>SUM(I20:I26)</f>
        <v>-42730.6</v>
      </c>
      <c r="J19" s="36">
        <f>H19+I19</f>
        <v>354585.9000000001</v>
      </c>
      <c r="K19" s="2">
        <f>SUM(K20:K26)</f>
        <v>-4077.7999999999997</v>
      </c>
      <c r="L19" s="36">
        <f>J19+K19</f>
        <v>350508.1000000001</v>
      </c>
      <c r="M19" s="2">
        <f>SUM(M20:M26)</f>
        <v>0</v>
      </c>
      <c r="N19" s="36">
        <f>L19+M19</f>
        <v>350508.1000000001</v>
      </c>
      <c r="O19" s="2">
        <f>SUM(O20:O26)</f>
        <v>1370.6000000000001</v>
      </c>
      <c r="P19" s="36">
        <f>N19+O19</f>
        <v>351878.70000000007</v>
      </c>
      <c r="Q19" s="22"/>
    </row>
    <row r="20" spans="1:16" ht="33">
      <c r="A20" s="77" t="s">
        <v>241</v>
      </c>
      <c r="B20" s="1" t="s">
        <v>221</v>
      </c>
      <c r="C20" s="1" t="s">
        <v>222</v>
      </c>
      <c r="D20" s="2">
        <f>'прил.5'!G23</f>
        <v>2998</v>
      </c>
      <c r="E20" s="2">
        <f>'прил.5'!H23</f>
        <v>0</v>
      </c>
      <c r="F20" s="36">
        <f aca="true" t="shared" si="0" ref="F20:F67">D20+E20</f>
        <v>2998</v>
      </c>
      <c r="G20" s="2">
        <f>'прил.5'!J23</f>
        <v>0</v>
      </c>
      <c r="H20" s="36">
        <f aca="true" t="shared" si="1" ref="H20:H67">F20+G20</f>
        <v>2998</v>
      </c>
      <c r="I20" s="2">
        <f>'прил.5'!L23</f>
        <v>0</v>
      </c>
      <c r="J20" s="36">
        <f aca="true" t="shared" si="2" ref="J20:J67">H20+I20</f>
        <v>2998</v>
      </c>
      <c r="K20" s="2">
        <f>'прил.5'!N23</f>
        <v>0</v>
      </c>
      <c r="L20" s="36">
        <f aca="true" t="shared" si="3" ref="L20:L67">J20+K20</f>
        <v>2998</v>
      </c>
      <c r="M20" s="2">
        <f>'прил.5'!P23</f>
        <v>0</v>
      </c>
      <c r="N20" s="36">
        <f aca="true" t="shared" si="4" ref="N20:N67">L20+M20</f>
        <v>2998</v>
      </c>
      <c r="O20" s="2">
        <f>'прил.5'!R23</f>
        <v>0</v>
      </c>
      <c r="P20" s="36">
        <f aca="true" t="shared" si="5" ref="P20:P67">N20+O20</f>
        <v>2998</v>
      </c>
    </row>
    <row r="21" spans="1:16" ht="49.5">
      <c r="A21" s="12" t="s">
        <v>176</v>
      </c>
      <c r="B21" s="1" t="s">
        <v>221</v>
      </c>
      <c r="C21" s="1" t="s">
        <v>223</v>
      </c>
      <c r="D21" s="36">
        <f>'прил.5'!G387</f>
        <v>28887.4</v>
      </c>
      <c r="E21" s="36">
        <f>'прил.5'!H387</f>
        <v>0</v>
      </c>
      <c r="F21" s="36">
        <f t="shared" si="0"/>
        <v>28887.4</v>
      </c>
      <c r="G21" s="36">
        <f>'прил.5'!J387</f>
        <v>-8530.4</v>
      </c>
      <c r="H21" s="36">
        <f t="shared" si="1"/>
        <v>20357</v>
      </c>
      <c r="I21" s="36">
        <f>'прил.5'!L387</f>
        <v>0</v>
      </c>
      <c r="J21" s="36">
        <f t="shared" si="2"/>
        <v>20357</v>
      </c>
      <c r="K21" s="36">
        <f>'прил.5'!N387</f>
        <v>0</v>
      </c>
      <c r="L21" s="36">
        <f t="shared" si="3"/>
        <v>20357</v>
      </c>
      <c r="M21" s="36">
        <f>'прил.5'!P387</f>
        <v>0</v>
      </c>
      <c r="N21" s="36">
        <f t="shared" si="4"/>
        <v>20357</v>
      </c>
      <c r="O21" s="36">
        <f>'прил.5'!R387</f>
        <v>-209.8</v>
      </c>
      <c r="P21" s="36">
        <f t="shared" si="5"/>
        <v>20147.2</v>
      </c>
    </row>
    <row r="22" spans="1:16" ht="49.5">
      <c r="A22" s="78" t="s">
        <v>243</v>
      </c>
      <c r="B22" s="1" t="s">
        <v>221</v>
      </c>
      <c r="C22" s="1" t="s">
        <v>224</v>
      </c>
      <c r="D22" s="2">
        <f>'прил.5'!G30</f>
        <v>126109.40000000001</v>
      </c>
      <c r="E22" s="2">
        <f>'прил.5'!H30</f>
        <v>0</v>
      </c>
      <c r="F22" s="36">
        <f t="shared" si="0"/>
        <v>126109.40000000001</v>
      </c>
      <c r="G22" s="2">
        <f>'прил.5'!J30</f>
        <v>0</v>
      </c>
      <c r="H22" s="36">
        <f t="shared" si="1"/>
        <v>126109.40000000001</v>
      </c>
      <c r="I22" s="2">
        <f>'прил.5'!L30</f>
        <v>0</v>
      </c>
      <c r="J22" s="36">
        <f t="shared" si="2"/>
        <v>126109.40000000001</v>
      </c>
      <c r="K22" s="2">
        <f>'прил.5'!N30</f>
        <v>222.5</v>
      </c>
      <c r="L22" s="36">
        <f t="shared" si="3"/>
        <v>126331.90000000001</v>
      </c>
      <c r="M22" s="2">
        <f>'прил.5'!P30</f>
        <v>0</v>
      </c>
      <c r="N22" s="36">
        <f t="shared" si="4"/>
        <v>126331.90000000001</v>
      </c>
      <c r="O22" s="2">
        <f>'прил.5'!R30</f>
        <v>1562.5</v>
      </c>
      <c r="P22" s="36">
        <f t="shared" si="5"/>
        <v>127894.40000000001</v>
      </c>
    </row>
    <row r="23" spans="1:16" ht="12.75">
      <c r="A23" s="78" t="s">
        <v>383</v>
      </c>
      <c r="B23" s="1" t="s">
        <v>221</v>
      </c>
      <c r="C23" s="1" t="s">
        <v>229</v>
      </c>
      <c r="D23" s="2">
        <f>'прил.5'!G62</f>
        <v>0</v>
      </c>
      <c r="E23" s="2">
        <f>'прил.5'!H62</f>
        <v>0</v>
      </c>
      <c r="F23" s="36">
        <f t="shared" si="0"/>
        <v>0</v>
      </c>
      <c r="G23" s="2">
        <f>'прил.5'!J62</f>
        <v>0</v>
      </c>
      <c r="H23" s="36">
        <f t="shared" si="1"/>
        <v>0</v>
      </c>
      <c r="I23" s="2">
        <f>'прил.5'!L62</f>
        <v>0</v>
      </c>
      <c r="J23" s="36">
        <f t="shared" si="2"/>
        <v>0</v>
      </c>
      <c r="K23" s="2">
        <f>'прил.5'!N62</f>
        <v>21.9</v>
      </c>
      <c r="L23" s="36">
        <f t="shared" si="3"/>
        <v>21.9</v>
      </c>
      <c r="M23" s="2">
        <f>'прил.5'!P62</f>
        <v>0</v>
      </c>
      <c r="N23" s="36">
        <f t="shared" si="4"/>
        <v>21.9</v>
      </c>
      <c r="O23" s="2">
        <f>'прил.5'!R62</f>
        <v>0</v>
      </c>
      <c r="P23" s="36">
        <f t="shared" si="5"/>
        <v>21.9</v>
      </c>
    </row>
    <row r="24" spans="1:16" ht="33">
      <c r="A24" s="12" t="s">
        <v>173</v>
      </c>
      <c r="B24" s="1" t="s">
        <v>221</v>
      </c>
      <c r="C24" s="1" t="s">
        <v>225</v>
      </c>
      <c r="D24" s="2">
        <f>'прил.5'!G845</f>
        <v>34284.99999999999</v>
      </c>
      <c r="E24" s="2">
        <f>'прил.5'!H845</f>
        <v>0</v>
      </c>
      <c r="F24" s="36">
        <f t="shared" si="0"/>
        <v>34284.99999999999</v>
      </c>
      <c r="G24" s="2">
        <f>'прил.5'!J845+'прил.5'!J1591</f>
        <v>8199.9</v>
      </c>
      <c r="H24" s="36">
        <f t="shared" si="1"/>
        <v>42484.899999999994</v>
      </c>
      <c r="I24" s="2">
        <f>'прил.5'!L845+'прил.5'!L1591</f>
        <v>0</v>
      </c>
      <c r="J24" s="36">
        <f t="shared" si="2"/>
        <v>42484.899999999994</v>
      </c>
      <c r="K24" s="2">
        <f>'прил.5'!N845+'прил.5'!N1591</f>
        <v>0</v>
      </c>
      <c r="L24" s="36">
        <f t="shared" si="3"/>
        <v>42484.899999999994</v>
      </c>
      <c r="M24" s="2">
        <f>'прил.5'!P845+'прил.5'!P1591</f>
        <v>0</v>
      </c>
      <c r="N24" s="36">
        <f t="shared" si="4"/>
        <v>42484.899999999994</v>
      </c>
      <c r="O24" s="2">
        <f>'прил.5'!R845+'прил.5'!R1591</f>
        <v>119.2</v>
      </c>
      <c r="P24" s="36">
        <f t="shared" si="5"/>
        <v>42604.09999999999</v>
      </c>
    </row>
    <row r="25" spans="1:16" ht="12.75">
      <c r="A25" s="12" t="s">
        <v>208</v>
      </c>
      <c r="B25" s="1" t="s">
        <v>221</v>
      </c>
      <c r="C25" s="1" t="s">
        <v>232</v>
      </c>
      <c r="D25" s="2">
        <f>'прил.5'!G861</f>
        <v>69251.3</v>
      </c>
      <c r="E25" s="2">
        <f>'прил.5'!H861</f>
        <v>-9691.9</v>
      </c>
      <c r="F25" s="36">
        <f t="shared" si="0"/>
        <v>59559.4</v>
      </c>
      <c r="G25" s="2">
        <f>'прил.5'!J861</f>
        <v>-630.1</v>
      </c>
      <c r="H25" s="36">
        <f t="shared" si="1"/>
        <v>58929.3</v>
      </c>
      <c r="I25" s="2">
        <f>'прил.5'!L861</f>
        <v>-42706.7</v>
      </c>
      <c r="J25" s="36">
        <f t="shared" si="2"/>
        <v>16222.600000000006</v>
      </c>
      <c r="K25" s="2">
        <f>'прил.5'!N861</f>
        <v>-4163</v>
      </c>
      <c r="L25" s="36">
        <f t="shared" si="3"/>
        <v>12059.600000000006</v>
      </c>
      <c r="M25" s="2">
        <f>'прил.5'!P861</f>
        <v>0</v>
      </c>
      <c r="N25" s="36">
        <f t="shared" si="4"/>
        <v>12059.600000000006</v>
      </c>
      <c r="O25" s="2">
        <f>'прил.5'!R861</f>
        <v>-310.0999999999999</v>
      </c>
      <c r="P25" s="36">
        <f t="shared" si="5"/>
        <v>11749.500000000005</v>
      </c>
    </row>
    <row r="26" spans="1:16" ht="12.75">
      <c r="A26" s="12" t="s">
        <v>245</v>
      </c>
      <c r="B26" s="1" t="s">
        <v>221</v>
      </c>
      <c r="C26" s="1" t="s">
        <v>198</v>
      </c>
      <c r="D26" s="2">
        <f>'прил.5'!G69+'прил.5'!G409+'прил.5'!G868+'прил.5'!G1384</f>
        <v>145157.1</v>
      </c>
      <c r="E26" s="2">
        <f>'прил.5'!H69+'прил.5'!H409+'прил.5'!H868+'прил.5'!H1384</f>
        <v>0</v>
      </c>
      <c r="F26" s="36">
        <f t="shared" si="0"/>
        <v>145157.1</v>
      </c>
      <c r="G26" s="2">
        <f>'прил.5'!J69+'прил.5'!J409+'прил.5'!J868+'прил.5'!J1384</f>
        <v>1280.800000000001</v>
      </c>
      <c r="H26" s="36">
        <f t="shared" si="1"/>
        <v>146437.9</v>
      </c>
      <c r="I26" s="2">
        <f>'прил.5'!L69+'прил.5'!L409+'прил.5'!L868+'прил.5'!L1384</f>
        <v>-23.90000000000009</v>
      </c>
      <c r="J26" s="36">
        <f t="shared" si="2"/>
        <v>146414</v>
      </c>
      <c r="K26" s="2">
        <f>'прил.5'!N69+'прил.5'!N409+'прил.5'!N868+'прил.5'!N1384</f>
        <v>-159.20000000000002</v>
      </c>
      <c r="L26" s="36">
        <f t="shared" si="3"/>
        <v>146254.8</v>
      </c>
      <c r="M26" s="2">
        <f>'прил.5'!P69+'прил.5'!P409+'прил.5'!P868+'прил.5'!P1384</f>
        <v>0</v>
      </c>
      <c r="N26" s="36">
        <f t="shared" si="4"/>
        <v>146254.8</v>
      </c>
      <c r="O26" s="2">
        <f>'прил.5'!R69+'прил.5'!R409+'прил.5'!R868+'прил.5'!R1384</f>
        <v>208.80000000000004</v>
      </c>
      <c r="P26" s="36">
        <f t="shared" si="5"/>
        <v>146463.59999999998</v>
      </c>
    </row>
    <row r="27" spans="1:17" ht="33">
      <c r="A27" s="12" t="s">
        <v>170</v>
      </c>
      <c r="B27" s="1" t="s">
        <v>223</v>
      </c>
      <c r="C27" s="1"/>
      <c r="D27" s="2">
        <f>SUM(D28)</f>
        <v>59148.7</v>
      </c>
      <c r="E27" s="2">
        <f>SUM(E28)</f>
        <v>0</v>
      </c>
      <c r="F27" s="36">
        <f t="shared" si="0"/>
        <v>59148.7</v>
      </c>
      <c r="G27" s="2">
        <f>SUM(G28)</f>
        <v>0</v>
      </c>
      <c r="H27" s="36">
        <f t="shared" si="1"/>
        <v>59148.7</v>
      </c>
      <c r="I27" s="2">
        <f>SUM(I28)</f>
        <v>-3441.5</v>
      </c>
      <c r="J27" s="36">
        <f t="shared" si="2"/>
        <v>55707.2</v>
      </c>
      <c r="K27" s="2">
        <f>SUM(K28)</f>
        <v>0</v>
      </c>
      <c r="L27" s="36">
        <f t="shared" si="3"/>
        <v>55707.2</v>
      </c>
      <c r="M27" s="2">
        <f>SUM(M28)</f>
        <v>0</v>
      </c>
      <c r="N27" s="36">
        <f t="shared" si="4"/>
        <v>55707.2</v>
      </c>
      <c r="O27" s="2">
        <f>SUM(O28)</f>
        <v>80.1</v>
      </c>
      <c r="P27" s="36">
        <f t="shared" si="5"/>
        <v>55787.299999999996</v>
      </c>
      <c r="Q27" s="22"/>
    </row>
    <row r="28" spans="1:16" ht="33">
      <c r="A28" s="12" t="s">
        <v>270</v>
      </c>
      <c r="B28" s="1" t="s">
        <v>223</v>
      </c>
      <c r="C28" s="1" t="s">
        <v>227</v>
      </c>
      <c r="D28" s="2">
        <f>'прил.5'!G169</f>
        <v>59148.7</v>
      </c>
      <c r="E28" s="2">
        <f>'прил.5'!H169</f>
        <v>0</v>
      </c>
      <c r="F28" s="36">
        <f t="shared" si="0"/>
        <v>59148.7</v>
      </c>
      <c r="G28" s="2">
        <f>'прил.5'!J169</f>
        <v>0</v>
      </c>
      <c r="H28" s="36">
        <f t="shared" si="1"/>
        <v>59148.7</v>
      </c>
      <c r="I28" s="2">
        <f>'прил.5'!L169</f>
        <v>-3441.5</v>
      </c>
      <c r="J28" s="36">
        <f t="shared" si="2"/>
        <v>55707.2</v>
      </c>
      <c r="K28" s="2">
        <f>'прил.5'!N169</f>
        <v>0</v>
      </c>
      <c r="L28" s="36">
        <f t="shared" si="3"/>
        <v>55707.2</v>
      </c>
      <c r="M28" s="2">
        <f>'прил.5'!P169</f>
        <v>0</v>
      </c>
      <c r="N28" s="36">
        <f t="shared" si="4"/>
        <v>55707.2</v>
      </c>
      <c r="O28" s="2">
        <f>'прил.5'!R169</f>
        <v>80.1</v>
      </c>
      <c r="P28" s="36">
        <f t="shared" si="5"/>
        <v>55787.299999999996</v>
      </c>
    </row>
    <row r="29" spans="1:17" ht="12.75">
      <c r="A29" s="12" t="s">
        <v>228</v>
      </c>
      <c r="B29" s="1" t="s">
        <v>224</v>
      </c>
      <c r="C29" s="1"/>
      <c r="D29" s="2">
        <f>SUM(D30:D34)</f>
        <v>1014715.5999999999</v>
      </c>
      <c r="E29" s="2">
        <f>SUM(E30:E34)</f>
        <v>-12616.400000000001</v>
      </c>
      <c r="F29" s="36">
        <f t="shared" si="0"/>
        <v>1002099.1999999998</v>
      </c>
      <c r="G29" s="2">
        <f>SUM(G30:G34)</f>
        <v>-48495.5</v>
      </c>
      <c r="H29" s="36">
        <f t="shared" si="1"/>
        <v>953603.6999999998</v>
      </c>
      <c r="I29" s="2">
        <f>SUM(I30:I34)</f>
        <v>-8338.8</v>
      </c>
      <c r="J29" s="36">
        <f t="shared" si="2"/>
        <v>945264.8999999998</v>
      </c>
      <c r="K29" s="2">
        <f>SUM(K30:K34)</f>
        <v>-2924.0999999999995</v>
      </c>
      <c r="L29" s="36">
        <f t="shared" si="3"/>
        <v>942340.7999999998</v>
      </c>
      <c r="M29" s="2">
        <f>SUM(M30:M34)</f>
        <v>12800</v>
      </c>
      <c r="N29" s="36">
        <f t="shared" si="4"/>
        <v>955140.7999999998</v>
      </c>
      <c r="O29" s="2">
        <f>SUM(O30:O34)</f>
        <v>-2038.4999999999995</v>
      </c>
      <c r="P29" s="36">
        <f t="shared" si="5"/>
        <v>953102.2999999998</v>
      </c>
      <c r="Q29" s="22"/>
    </row>
    <row r="30" spans="1:16" ht="12.75">
      <c r="A30" s="78" t="s">
        <v>211</v>
      </c>
      <c r="B30" s="1" t="s">
        <v>224</v>
      </c>
      <c r="C30" s="1" t="s">
        <v>221</v>
      </c>
      <c r="D30" s="2">
        <f>'прил.5'!G227</f>
        <v>1338.9</v>
      </c>
      <c r="E30" s="2">
        <f>'прил.5'!H227</f>
        <v>0</v>
      </c>
      <c r="F30" s="36">
        <f t="shared" si="0"/>
        <v>1338.9</v>
      </c>
      <c r="G30" s="2">
        <f>'прил.5'!J227</f>
        <v>0</v>
      </c>
      <c r="H30" s="36">
        <f t="shared" si="1"/>
        <v>1338.9</v>
      </c>
      <c r="I30" s="2">
        <f>'прил.5'!L227</f>
        <v>0</v>
      </c>
      <c r="J30" s="36">
        <f t="shared" si="2"/>
        <v>1338.9</v>
      </c>
      <c r="K30" s="2">
        <f>'прил.5'!N567</f>
        <v>68.9</v>
      </c>
      <c r="L30" s="36">
        <f t="shared" si="3"/>
        <v>1407.8000000000002</v>
      </c>
      <c r="M30" s="2">
        <f>'прил.5'!P567</f>
        <v>0</v>
      </c>
      <c r="N30" s="36">
        <f t="shared" si="4"/>
        <v>1407.8000000000002</v>
      </c>
      <c r="O30" s="2">
        <f>'прил.5'!R567+'прил.5'!R227</f>
        <v>-17.4</v>
      </c>
      <c r="P30" s="36">
        <f t="shared" si="5"/>
        <v>1390.4</v>
      </c>
    </row>
    <row r="31" spans="1:16" ht="12.75">
      <c r="A31" s="79" t="s">
        <v>369</v>
      </c>
      <c r="B31" s="1" t="s">
        <v>224</v>
      </c>
      <c r="C31" s="1" t="s">
        <v>230</v>
      </c>
      <c r="D31" s="2">
        <f>'прил.5'!G1400</f>
        <v>82953.9</v>
      </c>
      <c r="E31" s="2">
        <f>'прил.5'!H1400+'прил.5'!H417</f>
        <v>0</v>
      </c>
      <c r="F31" s="36">
        <f t="shared" si="0"/>
        <v>82953.9</v>
      </c>
      <c r="G31" s="2">
        <f>'прил.5'!J1400+'прил.5'!J417</f>
        <v>0</v>
      </c>
      <c r="H31" s="36">
        <f t="shared" si="1"/>
        <v>82953.9</v>
      </c>
      <c r="I31" s="2">
        <f>'прил.5'!L1400+'прил.5'!L417</f>
        <v>0</v>
      </c>
      <c r="J31" s="36">
        <f t="shared" si="2"/>
        <v>82953.9</v>
      </c>
      <c r="K31" s="2">
        <f>'прил.5'!N1400+'прил.5'!N417</f>
        <v>-2565.7</v>
      </c>
      <c r="L31" s="36">
        <f t="shared" si="3"/>
        <v>80388.2</v>
      </c>
      <c r="M31" s="2">
        <f>'прил.5'!P1400+'прил.5'!P417+'прил.5'!P233</f>
        <v>12800</v>
      </c>
      <c r="N31" s="36">
        <f t="shared" si="4"/>
        <v>93188.2</v>
      </c>
      <c r="O31" s="2">
        <f>'прил.5'!R1400+'прил.5'!R417+'прил.5'!R233</f>
        <v>-49.9</v>
      </c>
      <c r="P31" s="36">
        <f t="shared" si="5"/>
        <v>93138.3</v>
      </c>
    </row>
    <row r="32" spans="1:16" ht="12.75">
      <c r="A32" s="79" t="s">
        <v>188</v>
      </c>
      <c r="B32" s="1" t="s">
        <v>224</v>
      </c>
      <c r="C32" s="1" t="s">
        <v>227</v>
      </c>
      <c r="D32" s="2">
        <f>'прил.5'!G423+'прил.5'!G1411</f>
        <v>617007.6</v>
      </c>
      <c r="E32" s="2">
        <f>'прил.5'!H423+'прил.5'!H1411</f>
        <v>51383.6</v>
      </c>
      <c r="F32" s="36">
        <f t="shared" si="0"/>
        <v>668391.2</v>
      </c>
      <c r="G32" s="2">
        <f>'прил.5'!J423+'прил.5'!J1411</f>
        <v>-594.6</v>
      </c>
      <c r="H32" s="36">
        <f t="shared" si="1"/>
        <v>667796.6</v>
      </c>
      <c r="I32" s="2">
        <f>'прил.5'!L423+'прил.5'!L1411</f>
        <v>-1754.1000000000004</v>
      </c>
      <c r="J32" s="36">
        <f t="shared" si="2"/>
        <v>666042.5</v>
      </c>
      <c r="K32" s="2">
        <f>'прил.5'!N423+'прил.5'!N1411</f>
        <v>-676.6999999999999</v>
      </c>
      <c r="L32" s="36">
        <f t="shared" si="3"/>
        <v>665365.8</v>
      </c>
      <c r="M32" s="2">
        <f>'прил.5'!P423+'прил.5'!P1411</f>
        <v>0</v>
      </c>
      <c r="N32" s="36">
        <f t="shared" si="4"/>
        <v>665365.8</v>
      </c>
      <c r="O32" s="2">
        <f>'прил.5'!R423+'прил.5'!R1411</f>
        <v>-1501.0999999999995</v>
      </c>
      <c r="P32" s="36">
        <f t="shared" si="5"/>
        <v>663864.7000000001</v>
      </c>
    </row>
    <row r="33" spans="1:16" ht="12.75">
      <c r="A33" s="12" t="s">
        <v>238</v>
      </c>
      <c r="B33" s="1" t="s">
        <v>224</v>
      </c>
      <c r="C33" s="1" t="s">
        <v>196</v>
      </c>
      <c r="D33" s="2">
        <f>'прил.5'!G238</f>
        <v>53815.5</v>
      </c>
      <c r="E33" s="2">
        <f>'прил.5'!H238</f>
        <v>0</v>
      </c>
      <c r="F33" s="36">
        <f t="shared" si="0"/>
        <v>53815.5</v>
      </c>
      <c r="G33" s="2">
        <f>'прил.5'!J238</f>
        <v>1675.6999999999998</v>
      </c>
      <c r="H33" s="36">
        <f t="shared" si="1"/>
        <v>55491.2</v>
      </c>
      <c r="I33" s="2">
        <f>'прил.5'!L238+'прил.5'!L1434</f>
        <v>507.5</v>
      </c>
      <c r="J33" s="36">
        <f t="shared" si="2"/>
        <v>55998.7</v>
      </c>
      <c r="K33" s="2">
        <f>'прил.5'!N238+'прил.5'!N1434</f>
        <v>41.6</v>
      </c>
      <c r="L33" s="36">
        <f t="shared" si="3"/>
        <v>56040.299999999996</v>
      </c>
      <c r="M33" s="2">
        <f>'прил.5'!P238+'прил.5'!P1434</f>
        <v>0</v>
      </c>
      <c r="N33" s="36">
        <f t="shared" si="4"/>
        <v>56040.299999999996</v>
      </c>
      <c r="O33" s="2">
        <f>'прил.5'!R238+'прил.5'!R1434</f>
        <v>-3513.3</v>
      </c>
      <c r="P33" s="36">
        <f t="shared" si="5"/>
        <v>52526.99999999999</v>
      </c>
    </row>
    <row r="34" spans="1:16" ht="12.75">
      <c r="A34" s="12" t="s">
        <v>231</v>
      </c>
      <c r="B34" s="1" t="s">
        <v>224</v>
      </c>
      <c r="C34" s="1" t="s">
        <v>204</v>
      </c>
      <c r="D34" s="2">
        <f>'прил.5'!G270+'прил.5'!G454+'прил.5'!G542+'прил.5'!G883+'прил.5'!G894+'прил.5'!G1441</f>
        <v>259599.69999999998</v>
      </c>
      <c r="E34" s="2">
        <f>'прил.5'!H270+'прил.5'!H454+'прил.5'!H542+'прил.5'!H883+'прил.5'!H894+'прил.5'!H1441</f>
        <v>-64000</v>
      </c>
      <c r="F34" s="36">
        <f t="shared" si="0"/>
        <v>195599.69999999998</v>
      </c>
      <c r="G34" s="2">
        <f>'прил.5'!J270+'прил.5'!J454+'прил.5'!J542+'прил.5'!J883+'прил.5'!J894+'прил.5'!J1441</f>
        <v>-49576.6</v>
      </c>
      <c r="H34" s="36">
        <f t="shared" si="1"/>
        <v>146023.09999999998</v>
      </c>
      <c r="I34" s="2">
        <f>'прил.5'!L270+'прил.5'!L454+'прил.5'!L542+'прил.5'!L883+'прил.5'!L894+'прил.5'!L1441</f>
        <v>-7092.2</v>
      </c>
      <c r="J34" s="36">
        <f t="shared" si="2"/>
        <v>138930.89999999997</v>
      </c>
      <c r="K34" s="2">
        <f>'прил.5'!N270+'прил.5'!N454+'прил.5'!N542+'прил.5'!N883+'прил.5'!N894+'прил.5'!N1441</f>
        <v>207.8</v>
      </c>
      <c r="L34" s="36">
        <f t="shared" si="3"/>
        <v>139138.69999999995</v>
      </c>
      <c r="M34" s="2">
        <f>'прил.5'!P270+'прил.5'!P454+'прил.5'!P542+'прил.5'!P883+'прил.5'!P894+'прил.5'!P1441</f>
        <v>0</v>
      </c>
      <c r="N34" s="36">
        <f t="shared" si="4"/>
        <v>139138.69999999995</v>
      </c>
      <c r="O34" s="2">
        <f>'прил.5'!R270+'прил.5'!R454+'прил.5'!R542+'прил.5'!R883+'прил.5'!R894+'прил.5'!R1441</f>
        <v>3043.2000000000003</v>
      </c>
      <c r="P34" s="36">
        <f t="shared" si="5"/>
        <v>142181.89999999997</v>
      </c>
    </row>
    <row r="35" spans="1:17" ht="12.75">
      <c r="A35" s="12" t="s">
        <v>233</v>
      </c>
      <c r="B35" s="1" t="s">
        <v>229</v>
      </c>
      <c r="C35" s="1"/>
      <c r="D35" s="2">
        <f>SUM(D36:D39)</f>
        <v>177342.5</v>
      </c>
      <c r="E35" s="2">
        <f>SUM(E36:E39)</f>
        <v>0</v>
      </c>
      <c r="F35" s="36">
        <f t="shared" si="0"/>
        <v>177342.5</v>
      </c>
      <c r="G35" s="2">
        <f>SUM(G36:G39)</f>
        <v>-898.9000000000001</v>
      </c>
      <c r="H35" s="36">
        <f t="shared" si="1"/>
        <v>176443.6</v>
      </c>
      <c r="I35" s="2">
        <f>SUM(I36:I39)</f>
        <v>-2268.8999999999996</v>
      </c>
      <c r="J35" s="36">
        <f t="shared" si="2"/>
        <v>174174.7</v>
      </c>
      <c r="K35" s="2">
        <f>SUM(K36:K39)</f>
        <v>3842.2</v>
      </c>
      <c r="L35" s="36">
        <f t="shared" si="3"/>
        <v>178016.90000000002</v>
      </c>
      <c r="M35" s="2">
        <f>SUM(M36:M39)</f>
        <v>-140.2</v>
      </c>
      <c r="N35" s="36">
        <f t="shared" si="4"/>
        <v>177876.7</v>
      </c>
      <c r="O35" s="2">
        <f>SUM(O36:O39)</f>
        <v>8039.6</v>
      </c>
      <c r="P35" s="36">
        <f t="shared" si="5"/>
        <v>185916.30000000002</v>
      </c>
      <c r="Q35" s="22"/>
    </row>
    <row r="36" spans="1:16" ht="12.75">
      <c r="A36" s="12" t="s">
        <v>234</v>
      </c>
      <c r="B36" s="1" t="s">
        <v>229</v>
      </c>
      <c r="C36" s="1" t="s">
        <v>221</v>
      </c>
      <c r="D36" s="2">
        <f>'прил.5'!G471</f>
        <v>9180.8</v>
      </c>
      <c r="E36" s="2">
        <f>'прил.5'!H471</f>
        <v>0</v>
      </c>
      <c r="F36" s="36">
        <f t="shared" si="0"/>
        <v>9180.8</v>
      </c>
      <c r="G36" s="2">
        <f>'прил.5'!J471</f>
        <v>0</v>
      </c>
      <c r="H36" s="36">
        <f t="shared" si="1"/>
        <v>9180.8</v>
      </c>
      <c r="I36" s="2">
        <f>'прил.5'!L471</f>
        <v>-508.5</v>
      </c>
      <c r="J36" s="36">
        <f t="shared" si="2"/>
        <v>8672.3</v>
      </c>
      <c r="K36" s="2">
        <f>'прил.5'!N471</f>
        <v>0</v>
      </c>
      <c r="L36" s="36">
        <f t="shared" si="3"/>
        <v>8672.3</v>
      </c>
      <c r="M36" s="2">
        <f>'прил.5'!P471</f>
        <v>0</v>
      </c>
      <c r="N36" s="36">
        <f t="shared" si="4"/>
        <v>8672.3</v>
      </c>
      <c r="O36" s="2">
        <f>'прил.5'!R471+'прил.5'!R1487</f>
        <v>8188.5</v>
      </c>
      <c r="P36" s="36">
        <f t="shared" si="5"/>
        <v>16860.8</v>
      </c>
    </row>
    <row r="37" spans="1:16" ht="12.75">
      <c r="A37" s="12" t="s">
        <v>261</v>
      </c>
      <c r="B37" s="1" t="s">
        <v>229</v>
      </c>
      <c r="C37" s="1" t="s">
        <v>222</v>
      </c>
      <c r="D37" s="2">
        <f>'прил.5'!G1493</f>
        <v>4522</v>
      </c>
      <c r="E37" s="2">
        <f>'прил.5'!H1493</f>
        <v>0</v>
      </c>
      <c r="F37" s="36">
        <f t="shared" si="0"/>
        <v>4522</v>
      </c>
      <c r="G37" s="2">
        <f>'прил.5'!J1493</f>
        <v>0</v>
      </c>
      <c r="H37" s="36">
        <f t="shared" si="1"/>
        <v>4522</v>
      </c>
      <c r="I37" s="2">
        <f>'прил.5'!L1493</f>
        <v>412.8000000000002</v>
      </c>
      <c r="J37" s="36">
        <f t="shared" si="2"/>
        <v>4934.8</v>
      </c>
      <c r="K37" s="2">
        <f>'прил.5'!N1493</f>
        <v>0</v>
      </c>
      <c r="L37" s="36">
        <f t="shared" si="3"/>
        <v>4934.8</v>
      </c>
      <c r="M37" s="2">
        <f>'прил.5'!P1493</f>
        <v>0</v>
      </c>
      <c r="N37" s="36">
        <f t="shared" si="4"/>
        <v>4934.8</v>
      </c>
      <c r="O37" s="2">
        <f>'прил.5'!R1493</f>
        <v>1611</v>
      </c>
      <c r="P37" s="36">
        <f t="shared" si="5"/>
        <v>6545.8</v>
      </c>
    </row>
    <row r="38" spans="1:16" ht="12.75">
      <c r="A38" s="62" t="s">
        <v>260</v>
      </c>
      <c r="B38" s="1" t="s">
        <v>229</v>
      </c>
      <c r="C38" s="1" t="s">
        <v>223</v>
      </c>
      <c r="D38" s="2">
        <f>'прил.5'!G492+'прил.5'!G1504</f>
        <v>141710.40000000002</v>
      </c>
      <c r="E38" s="2">
        <f>'прил.5'!H492+'прил.5'!H1504</f>
        <v>0</v>
      </c>
      <c r="F38" s="36">
        <f t="shared" si="0"/>
        <v>141710.40000000002</v>
      </c>
      <c r="G38" s="2">
        <f>'прил.5'!J492+'прил.5'!J1504</f>
        <v>-898.9000000000001</v>
      </c>
      <c r="H38" s="36">
        <f t="shared" si="1"/>
        <v>140811.50000000003</v>
      </c>
      <c r="I38" s="2">
        <f>'прил.5'!L492+'прил.5'!L1504</f>
        <v>-2173.2</v>
      </c>
      <c r="J38" s="36">
        <f t="shared" si="2"/>
        <v>138638.30000000002</v>
      </c>
      <c r="K38" s="2">
        <f>'прил.5'!N492+'прил.5'!N1504</f>
        <v>3842.2</v>
      </c>
      <c r="L38" s="36">
        <f t="shared" si="3"/>
        <v>142480.50000000003</v>
      </c>
      <c r="M38" s="2">
        <f>'прил.5'!P492+'прил.5'!P1504</f>
        <v>-140.2</v>
      </c>
      <c r="N38" s="36">
        <f t="shared" si="4"/>
        <v>142340.30000000002</v>
      </c>
      <c r="O38" s="2">
        <f>'прил.5'!R492+'прил.5'!R1504</f>
        <v>-1759.9</v>
      </c>
      <c r="P38" s="36">
        <f t="shared" si="5"/>
        <v>140580.40000000002</v>
      </c>
    </row>
    <row r="39" spans="1:16" ht="12.75">
      <c r="A39" s="12" t="s">
        <v>172</v>
      </c>
      <c r="B39" s="1" t="s">
        <v>229</v>
      </c>
      <c r="C39" s="1" t="s">
        <v>229</v>
      </c>
      <c r="D39" s="2">
        <f>'прил.5'!G506</f>
        <v>21929.300000000003</v>
      </c>
      <c r="E39" s="2">
        <f>'прил.5'!H506</f>
        <v>0</v>
      </c>
      <c r="F39" s="36">
        <f t="shared" si="0"/>
        <v>21929.300000000003</v>
      </c>
      <c r="G39" s="2">
        <f>'прил.5'!J506</f>
        <v>0</v>
      </c>
      <c r="H39" s="36">
        <f t="shared" si="1"/>
        <v>21929.300000000003</v>
      </c>
      <c r="I39" s="2">
        <f>'прил.5'!L506</f>
        <v>0</v>
      </c>
      <c r="J39" s="36">
        <f t="shared" si="2"/>
        <v>21929.300000000003</v>
      </c>
      <c r="K39" s="2">
        <f>'прил.5'!N506</f>
        <v>0</v>
      </c>
      <c r="L39" s="36">
        <f t="shared" si="3"/>
        <v>21929.300000000003</v>
      </c>
      <c r="M39" s="2">
        <f>'прил.5'!P506</f>
        <v>0</v>
      </c>
      <c r="N39" s="36">
        <f t="shared" si="4"/>
        <v>21929.300000000003</v>
      </c>
      <c r="O39" s="2">
        <f>'прил.5'!R506</f>
        <v>0</v>
      </c>
      <c r="P39" s="36">
        <f t="shared" si="5"/>
        <v>21929.300000000003</v>
      </c>
    </row>
    <row r="40" spans="1:17" ht="12.75">
      <c r="A40" s="12" t="s">
        <v>262</v>
      </c>
      <c r="B40" s="1" t="s">
        <v>225</v>
      </c>
      <c r="C40" s="1"/>
      <c r="D40" s="2">
        <f>SUM(D41:D42)</f>
        <v>17871.6</v>
      </c>
      <c r="E40" s="2">
        <f>SUM(E41:E42)</f>
        <v>0</v>
      </c>
      <c r="F40" s="36">
        <f t="shared" si="0"/>
        <v>17871.6</v>
      </c>
      <c r="G40" s="2">
        <f>SUM(G41:G42)</f>
        <v>0</v>
      </c>
      <c r="H40" s="36">
        <f t="shared" si="1"/>
        <v>17871.6</v>
      </c>
      <c r="I40" s="2">
        <f>SUM(I41:I42)</f>
        <v>-0.6</v>
      </c>
      <c r="J40" s="36">
        <f t="shared" si="2"/>
        <v>17871</v>
      </c>
      <c r="K40" s="2">
        <f>SUM(K41:K42)</f>
        <v>-164.3</v>
      </c>
      <c r="L40" s="36">
        <f t="shared" si="3"/>
        <v>17706.7</v>
      </c>
      <c r="M40" s="2">
        <f>SUM(M41:M42)</f>
        <v>0</v>
      </c>
      <c r="N40" s="36">
        <f t="shared" si="4"/>
        <v>17706.7</v>
      </c>
      <c r="O40" s="2">
        <f>SUM(O41:O42)</f>
        <v>0</v>
      </c>
      <c r="P40" s="36">
        <f t="shared" si="5"/>
        <v>17706.7</v>
      </c>
      <c r="Q40" s="22"/>
    </row>
    <row r="41" spans="1:16" ht="12.75">
      <c r="A41" s="80" t="s">
        <v>168</v>
      </c>
      <c r="B41" s="1" t="s">
        <v>225</v>
      </c>
      <c r="C41" s="1" t="s">
        <v>223</v>
      </c>
      <c r="D41" s="2">
        <f>'прил.5'!G1606</f>
        <v>1703.5</v>
      </c>
      <c r="E41" s="2">
        <f>'прил.5'!H1606</f>
        <v>0</v>
      </c>
      <c r="F41" s="36">
        <f t="shared" si="0"/>
        <v>1703.5</v>
      </c>
      <c r="G41" s="2">
        <f>'прил.5'!J1606</f>
        <v>0</v>
      </c>
      <c r="H41" s="36">
        <f t="shared" si="1"/>
        <v>1703.5</v>
      </c>
      <c r="I41" s="2">
        <f>'прил.5'!L1606</f>
        <v>0</v>
      </c>
      <c r="J41" s="36">
        <f t="shared" si="2"/>
        <v>1703.5</v>
      </c>
      <c r="K41" s="2">
        <f>'прил.5'!N1606</f>
        <v>0</v>
      </c>
      <c r="L41" s="36">
        <f t="shared" si="3"/>
        <v>1703.5</v>
      </c>
      <c r="M41" s="2">
        <f>'прил.5'!P1606</f>
        <v>0</v>
      </c>
      <c r="N41" s="36">
        <f t="shared" si="4"/>
        <v>1703.5</v>
      </c>
      <c r="O41" s="2">
        <f>'прил.5'!R1606</f>
        <v>0</v>
      </c>
      <c r="P41" s="36">
        <f t="shared" si="5"/>
        <v>1703.5</v>
      </c>
    </row>
    <row r="42" spans="1:16" ht="12.75">
      <c r="A42" s="12" t="s">
        <v>263</v>
      </c>
      <c r="B42" s="1" t="s">
        <v>225</v>
      </c>
      <c r="C42" s="1" t="s">
        <v>229</v>
      </c>
      <c r="D42" s="2">
        <f>'прил.5'!G520+'прил.5'!G1615</f>
        <v>16168.1</v>
      </c>
      <c r="E42" s="2">
        <f>'прил.5'!H520+'прил.5'!H1615</f>
        <v>0</v>
      </c>
      <c r="F42" s="36">
        <f t="shared" si="0"/>
        <v>16168.1</v>
      </c>
      <c r="G42" s="2">
        <f>'прил.5'!J520+'прил.5'!J1615</f>
        <v>0</v>
      </c>
      <c r="H42" s="36">
        <f t="shared" si="1"/>
        <v>16168.1</v>
      </c>
      <c r="I42" s="2">
        <f>'прил.5'!L520+'прил.5'!L1615</f>
        <v>-0.6</v>
      </c>
      <c r="J42" s="36">
        <f t="shared" si="2"/>
        <v>16167.5</v>
      </c>
      <c r="K42" s="2">
        <f>'прил.5'!N520+'прил.5'!N1615</f>
        <v>-164.3</v>
      </c>
      <c r="L42" s="36">
        <f t="shared" si="3"/>
        <v>16003.2</v>
      </c>
      <c r="M42" s="2">
        <f>'прил.5'!P520+'прил.5'!P1615</f>
        <v>0</v>
      </c>
      <c r="N42" s="36">
        <f t="shared" si="4"/>
        <v>16003.2</v>
      </c>
      <c r="O42" s="2">
        <f>'прил.5'!R520+'прил.5'!R1615</f>
        <v>0</v>
      </c>
      <c r="P42" s="36">
        <f t="shared" si="5"/>
        <v>16003.2</v>
      </c>
    </row>
    <row r="43" spans="1:17" ht="12.75">
      <c r="A43" s="12" t="s">
        <v>264</v>
      </c>
      <c r="B43" s="1" t="s">
        <v>203</v>
      </c>
      <c r="C43" s="1"/>
      <c r="D43" s="2">
        <f>SUM(D44:D47)</f>
        <v>3396213.5</v>
      </c>
      <c r="E43" s="2">
        <f>SUM(E44:E47)</f>
        <v>908.8</v>
      </c>
      <c r="F43" s="36">
        <f t="shared" si="0"/>
        <v>3397122.3</v>
      </c>
      <c r="G43" s="2">
        <f>SUM(G44:G47)</f>
        <v>45778.399999999994</v>
      </c>
      <c r="H43" s="36">
        <f t="shared" si="1"/>
        <v>3442900.6999999997</v>
      </c>
      <c r="I43" s="2">
        <f>SUM(I44:I47)</f>
        <v>-8859.4</v>
      </c>
      <c r="J43" s="36">
        <f t="shared" si="2"/>
        <v>3434041.3</v>
      </c>
      <c r="K43" s="2">
        <f>SUM(K44:K47)</f>
        <v>1917.5</v>
      </c>
      <c r="L43" s="36">
        <f t="shared" si="3"/>
        <v>3435958.8</v>
      </c>
      <c r="M43" s="2">
        <f>SUM(M44:M47)</f>
        <v>3969.5</v>
      </c>
      <c r="N43" s="36">
        <f t="shared" si="4"/>
        <v>3439928.3</v>
      </c>
      <c r="O43" s="2">
        <f>SUM(O44:O47)</f>
        <v>272743.00000000006</v>
      </c>
      <c r="P43" s="36">
        <f t="shared" si="5"/>
        <v>3712671.3</v>
      </c>
      <c r="Q43" s="22"/>
    </row>
    <row r="44" spans="1:16" ht="12.75">
      <c r="A44" s="12" t="s">
        <v>266</v>
      </c>
      <c r="B44" s="1" t="s">
        <v>203</v>
      </c>
      <c r="C44" s="1" t="s">
        <v>221</v>
      </c>
      <c r="D44" s="2">
        <f>'прил.5'!G579</f>
        <v>1310375.8</v>
      </c>
      <c r="E44" s="2">
        <f>'прил.5'!H579</f>
        <v>0</v>
      </c>
      <c r="F44" s="36">
        <f t="shared" si="0"/>
        <v>1310375.8</v>
      </c>
      <c r="G44" s="2">
        <f>'прил.5'!J579</f>
        <v>44229.299999999996</v>
      </c>
      <c r="H44" s="36">
        <f t="shared" si="1"/>
        <v>1354605.1</v>
      </c>
      <c r="I44" s="2">
        <f>'прил.5'!L579</f>
        <v>-167.8</v>
      </c>
      <c r="J44" s="36">
        <f t="shared" si="2"/>
        <v>1354437.3</v>
      </c>
      <c r="K44" s="2">
        <f>'прил.5'!N579</f>
        <v>-2500</v>
      </c>
      <c r="L44" s="36">
        <f t="shared" si="3"/>
        <v>1351937.3</v>
      </c>
      <c r="M44" s="2">
        <f>'прил.5'!P579</f>
        <v>0</v>
      </c>
      <c r="N44" s="36">
        <f t="shared" si="4"/>
        <v>1351937.3</v>
      </c>
      <c r="O44" s="2">
        <f>'прил.5'!R579</f>
        <v>2892.8</v>
      </c>
      <c r="P44" s="36">
        <f t="shared" si="5"/>
        <v>1354830.1</v>
      </c>
    </row>
    <row r="45" spans="1:16" ht="12.75">
      <c r="A45" s="12" t="s">
        <v>258</v>
      </c>
      <c r="B45" s="1" t="s">
        <v>203</v>
      </c>
      <c r="C45" s="1" t="s">
        <v>222</v>
      </c>
      <c r="D45" s="2">
        <f>'прил.5'!G619+'прил.5'!G903+'прил.5'!G1139+'прил.5'!G1512</f>
        <v>1757386.2</v>
      </c>
      <c r="E45" s="2">
        <f>'прил.5'!H619+'прил.5'!H903+'прил.5'!H1139+'прил.5'!H1512</f>
        <v>908.8</v>
      </c>
      <c r="F45" s="36">
        <f t="shared" si="0"/>
        <v>1758295</v>
      </c>
      <c r="G45" s="2">
        <f>'прил.5'!J619+'прил.5'!J903+'прил.5'!J1139+'прил.5'!J1512</f>
        <v>-7173</v>
      </c>
      <c r="H45" s="36">
        <f t="shared" si="1"/>
        <v>1751122</v>
      </c>
      <c r="I45" s="2">
        <f>'прил.5'!L619+'прил.5'!L903+'прил.5'!L1139+'прил.5'!L1512</f>
        <v>-208.60000000000002</v>
      </c>
      <c r="J45" s="36">
        <f t="shared" si="2"/>
        <v>1750913.4</v>
      </c>
      <c r="K45" s="2">
        <f>'прил.5'!N619+'прил.5'!N903+'прил.5'!N1139+'прил.5'!N1512</f>
        <v>-2877.3</v>
      </c>
      <c r="L45" s="36">
        <f t="shared" si="3"/>
        <v>1748036.0999999999</v>
      </c>
      <c r="M45" s="2">
        <f>'прил.5'!P619+'прил.5'!P903+'прил.5'!P1139+'прил.5'!P1512</f>
        <v>10</v>
      </c>
      <c r="N45" s="36">
        <f>L45+M45</f>
        <v>1748046.0999999999</v>
      </c>
      <c r="O45" s="2">
        <f>'прил.5'!R619+'прил.5'!R903+'прил.5'!R1139+'прил.5'!R1512</f>
        <v>-3054.1</v>
      </c>
      <c r="P45" s="36">
        <f t="shared" si="5"/>
        <v>1744991.9999999998</v>
      </c>
    </row>
    <row r="46" spans="1:16" ht="12.75">
      <c r="A46" s="12" t="s">
        <v>207</v>
      </c>
      <c r="B46" s="1" t="s">
        <v>203</v>
      </c>
      <c r="C46" s="1" t="s">
        <v>203</v>
      </c>
      <c r="D46" s="2">
        <f>'прил.5'!G297+'прил.5'!G678+'прил.5'!G1233+'прил.5'!G1518</f>
        <v>86246.6</v>
      </c>
      <c r="E46" s="2">
        <f>'прил.5'!H297+'прил.5'!H678+'прил.5'!H1233+'прил.5'!H1518</f>
        <v>0</v>
      </c>
      <c r="F46" s="36">
        <f t="shared" si="0"/>
        <v>86246.6</v>
      </c>
      <c r="G46" s="2">
        <f>'прил.5'!J297+'прил.5'!J678+'прил.5'!J918+'прил.5'!J1147+'прил.5'!J1233+'прил.5'!J1518</f>
        <v>0.6999999999998181</v>
      </c>
      <c r="H46" s="36">
        <f t="shared" si="1"/>
        <v>86247.3</v>
      </c>
      <c r="I46" s="2">
        <f>'прил.5'!L297+'прил.5'!L678+'прил.5'!L918+'прил.5'!L1147+'прил.5'!L1233+'прил.5'!L1518</f>
        <v>-3065.7999999999997</v>
      </c>
      <c r="J46" s="36">
        <f t="shared" si="2"/>
        <v>83181.5</v>
      </c>
      <c r="K46" s="2">
        <f>'прил.5'!N297+'прил.5'!N678+'прил.5'!N918+'прил.5'!N1147+'прил.5'!N1233+'прил.5'!N1518</f>
        <v>377.3</v>
      </c>
      <c r="L46" s="36">
        <f t="shared" si="3"/>
        <v>83558.8</v>
      </c>
      <c r="M46" s="2">
        <f>'прил.5'!P297+'прил.5'!P678+'прил.5'!P918+'прил.5'!P1147+'прил.5'!P1233+'прил.5'!P1518</f>
        <v>0</v>
      </c>
      <c r="N46" s="36">
        <f t="shared" si="4"/>
        <v>83558.8</v>
      </c>
      <c r="O46" s="2">
        <f>'прил.5'!R297+'прил.5'!R678+'прил.5'!R918+'прил.5'!R1147+'прил.5'!R1233+'прил.5'!R1518</f>
        <v>0</v>
      </c>
      <c r="P46" s="36">
        <f t="shared" si="5"/>
        <v>83558.8</v>
      </c>
    </row>
    <row r="47" spans="1:16" ht="12.75">
      <c r="A47" s="12" t="s">
        <v>259</v>
      </c>
      <c r="B47" s="1" t="s">
        <v>203</v>
      </c>
      <c r="C47" s="1" t="s">
        <v>227</v>
      </c>
      <c r="D47" s="2">
        <f>'прил.5'!G694+'прил.5'!G924+'прил.5'!G1152+'прил.5'!G1531</f>
        <v>242204.90000000002</v>
      </c>
      <c r="E47" s="2">
        <f>'прил.5'!H694+'прил.5'!H924+'прил.5'!H1152+'прил.5'!H1531</f>
        <v>0</v>
      </c>
      <c r="F47" s="36">
        <f t="shared" si="0"/>
        <v>242204.90000000002</v>
      </c>
      <c r="G47" s="2">
        <f>'прил.5'!J694+'прил.5'!J924+'прил.5'!J1152+'прил.5'!J1531</f>
        <v>8721.4</v>
      </c>
      <c r="H47" s="36">
        <f t="shared" si="1"/>
        <v>250926.30000000002</v>
      </c>
      <c r="I47" s="2">
        <f>'прил.5'!L694+'прил.5'!L924+'прил.5'!L1152+'прил.5'!L1531</f>
        <v>-5417.2</v>
      </c>
      <c r="J47" s="36">
        <f t="shared" si="2"/>
        <v>245509.1</v>
      </c>
      <c r="K47" s="2">
        <f>'прил.5'!N694+'прил.5'!N924+'прил.5'!N1152+'прил.5'!N1531</f>
        <v>6917.5</v>
      </c>
      <c r="L47" s="36">
        <f t="shared" si="3"/>
        <v>252426.6</v>
      </c>
      <c r="M47" s="2">
        <f>'прил.5'!P694+'прил.5'!P924+'прил.5'!P1152+'прил.5'!P1531</f>
        <v>3959.5</v>
      </c>
      <c r="N47" s="36">
        <f t="shared" si="4"/>
        <v>256386.1</v>
      </c>
      <c r="O47" s="2">
        <f>'прил.5'!R694+'прил.5'!R924+'прил.5'!R1152+'прил.5'!R1531</f>
        <v>272904.30000000005</v>
      </c>
      <c r="P47" s="36">
        <f t="shared" si="5"/>
        <v>529290.4</v>
      </c>
    </row>
    <row r="48" spans="1:17" ht="12.75">
      <c r="A48" s="12" t="s">
        <v>175</v>
      </c>
      <c r="B48" s="1" t="s">
        <v>230</v>
      </c>
      <c r="C48" s="1"/>
      <c r="D48" s="2">
        <f>SUM(D49:D50)</f>
        <v>260483</v>
      </c>
      <c r="E48" s="2">
        <f>SUM(E49:E50)</f>
        <v>0</v>
      </c>
      <c r="F48" s="36">
        <f t="shared" si="0"/>
        <v>260483</v>
      </c>
      <c r="G48" s="2">
        <f>SUM(G49:G50)</f>
        <v>-443.79999999999995</v>
      </c>
      <c r="H48" s="36">
        <f t="shared" si="1"/>
        <v>260039.2</v>
      </c>
      <c r="I48" s="2">
        <f>SUM(I49:I50)</f>
        <v>1526.7</v>
      </c>
      <c r="J48" s="36">
        <f t="shared" si="2"/>
        <v>261565.90000000002</v>
      </c>
      <c r="K48" s="2">
        <f>SUM(K49:K50)</f>
        <v>0</v>
      </c>
      <c r="L48" s="36">
        <f t="shared" si="3"/>
        <v>261565.90000000002</v>
      </c>
      <c r="M48" s="2">
        <f>SUM(M49:M50)</f>
        <v>140.2</v>
      </c>
      <c r="N48" s="36">
        <f t="shared" si="4"/>
        <v>261706.10000000003</v>
      </c>
      <c r="O48" s="2">
        <f>SUM(O49:O50)</f>
        <v>-4619</v>
      </c>
      <c r="P48" s="36">
        <f t="shared" si="5"/>
        <v>257087.10000000003</v>
      </c>
      <c r="Q48" s="22"/>
    </row>
    <row r="49" spans="1:16" ht="12.75">
      <c r="A49" s="12" t="s">
        <v>192</v>
      </c>
      <c r="B49" s="1" t="s">
        <v>230</v>
      </c>
      <c r="C49" s="1" t="s">
        <v>221</v>
      </c>
      <c r="D49" s="2">
        <f>'прил.5'!G951</f>
        <v>233756</v>
      </c>
      <c r="E49" s="2">
        <f>'прил.5'!H951</f>
        <v>0</v>
      </c>
      <c r="F49" s="36">
        <f t="shared" si="0"/>
        <v>233756</v>
      </c>
      <c r="G49" s="2">
        <f>'прил.5'!J951</f>
        <v>-479.79999999999995</v>
      </c>
      <c r="H49" s="36">
        <f t="shared" si="1"/>
        <v>233276.2</v>
      </c>
      <c r="I49" s="2">
        <f>'прил.5'!L951+'прил.5'!L1563</f>
        <v>1528.5</v>
      </c>
      <c r="J49" s="36">
        <f t="shared" si="2"/>
        <v>234804.7</v>
      </c>
      <c r="K49" s="2">
        <f>'прил.5'!N951+'прил.5'!N1563</f>
        <v>0</v>
      </c>
      <c r="L49" s="36">
        <f t="shared" si="3"/>
        <v>234804.7</v>
      </c>
      <c r="M49" s="2">
        <f>'прил.5'!P951+'прил.5'!P1563</f>
        <v>140.2</v>
      </c>
      <c r="N49" s="36">
        <f t="shared" si="4"/>
        <v>234944.90000000002</v>
      </c>
      <c r="O49" s="2">
        <f>'прил.5'!R951+'прил.5'!R1563</f>
        <v>-10338.1</v>
      </c>
      <c r="P49" s="36">
        <f t="shared" si="5"/>
        <v>224606.80000000002</v>
      </c>
    </row>
    <row r="50" spans="1:16" s="37" customFormat="1" ht="12.75">
      <c r="A50" s="12" t="s">
        <v>171</v>
      </c>
      <c r="B50" s="1" t="s">
        <v>230</v>
      </c>
      <c r="C50" s="1" t="s">
        <v>224</v>
      </c>
      <c r="D50" s="2">
        <f>'прил.5'!G1023</f>
        <v>26727</v>
      </c>
      <c r="E50" s="2">
        <f>'прил.5'!H1023</f>
        <v>0</v>
      </c>
      <c r="F50" s="36">
        <f t="shared" si="0"/>
        <v>26727</v>
      </c>
      <c r="G50" s="2">
        <f>'прил.5'!J1023</f>
        <v>36</v>
      </c>
      <c r="H50" s="36">
        <f t="shared" si="1"/>
        <v>26763</v>
      </c>
      <c r="I50" s="2">
        <f>'прил.5'!L1023</f>
        <v>-1.8</v>
      </c>
      <c r="J50" s="36">
        <f t="shared" si="2"/>
        <v>26761.2</v>
      </c>
      <c r="K50" s="2">
        <f>'прил.5'!N1023</f>
        <v>0</v>
      </c>
      <c r="L50" s="36">
        <f t="shared" si="3"/>
        <v>26761.2</v>
      </c>
      <c r="M50" s="2">
        <f>'прил.5'!P1023</f>
        <v>0</v>
      </c>
      <c r="N50" s="36">
        <f t="shared" si="4"/>
        <v>26761.2</v>
      </c>
      <c r="O50" s="2">
        <f>'прил.5'!R1023+'прил.5'!R1569</f>
        <v>5719.1</v>
      </c>
      <c r="P50" s="36">
        <f t="shared" si="5"/>
        <v>32480.300000000003</v>
      </c>
    </row>
    <row r="51" spans="1:17" s="21" customFormat="1" ht="12.75">
      <c r="A51" s="62" t="s">
        <v>274</v>
      </c>
      <c r="B51" s="1" t="s">
        <v>227</v>
      </c>
      <c r="C51" s="1"/>
      <c r="D51" s="2">
        <f>SUM(D52)</f>
        <v>1957.5</v>
      </c>
      <c r="E51" s="2">
        <f>SUM(E52)</f>
        <v>0</v>
      </c>
      <c r="F51" s="36">
        <f t="shared" si="0"/>
        <v>1957.5</v>
      </c>
      <c r="G51" s="2">
        <f>SUM(G52)</f>
        <v>0</v>
      </c>
      <c r="H51" s="36">
        <f t="shared" si="1"/>
        <v>1957.5</v>
      </c>
      <c r="I51" s="2">
        <f>SUM(I52)</f>
        <v>0</v>
      </c>
      <c r="J51" s="36">
        <f t="shared" si="2"/>
        <v>1957.5</v>
      </c>
      <c r="K51" s="2">
        <f>SUM(K52)</f>
        <v>0</v>
      </c>
      <c r="L51" s="36">
        <f t="shared" si="3"/>
        <v>1957.5</v>
      </c>
      <c r="M51" s="2">
        <f>SUM(M52)</f>
        <v>0</v>
      </c>
      <c r="N51" s="36">
        <f t="shared" si="4"/>
        <v>1957.5</v>
      </c>
      <c r="O51" s="2">
        <f>SUM(O52)</f>
        <v>0</v>
      </c>
      <c r="P51" s="36">
        <f t="shared" si="5"/>
        <v>1957.5</v>
      </c>
      <c r="Q51" s="33"/>
    </row>
    <row r="52" spans="1:16" s="21" customFormat="1" ht="12.75">
      <c r="A52" s="79" t="s">
        <v>273</v>
      </c>
      <c r="B52" s="1" t="s">
        <v>227</v>
      </c>
      <c r="C52" s="1" t="s">
        <v>203</v>
      </c>
      <c r="D52" s="2">
        <f>'прил.5'!G526</f>
        <v>1957.5</v>
      </c>
      <c r="E52" s="2">
        <f>'прил.5'!H526</f>
        <v>0</v>
      </c>
      <c r="F52" s="36">
        <f t="shared" si="0"/>
        <v>1957.5</v>
      </c>
      <c r="G52" s="2">
        <f>'прил.5'!J526</f>
        <v>0</v>
      </c>
      <c r="H52" s="36">
        <f t="shared" si="1"/>
        <v>1957.5</v>
      </c>
      <c r="I52" s="2">
        <f>'прил.5'!L526</f>
        <v>0</v>
      </c>
      <c r="J52" s="36">
        <f t="shared" si="2"/>
        <v>1957.5</v>
      </c>
      <c r="K52" s="2">
        <f>'прил.5'!N526</f>
        <v>0</v>
      </c>
      <c r="L52" s="36">
        <f t="shared" si="3"/>
        <v>1957.5</v>
      </c>
      <c r="M52" s="2">
        <f>'прил.5'!P526</f>
        <v>0</v>
      </c>
      <c r="N52" s="36">
        <f t="shared" si="4"/>
        <v>1957.5</v>
      </c>
      <c r="O52" s="2">
        <f>'прил.5'!R526</f>
        <v>0</v>
      </c>
      <c r="P52" s="36">
        <f t="shared" si="5"/>
        <v>1957.5</v>
      </c>
    </row>
    <row r="53" spans="1:17" ht="12.75">
      <c r="A53" s="12" t="s">
        <v>195</v>
      </c>
      <c r="B53" s="1" t="s">
        <v>196</v>
      </c>
      <c r="C53" s="1"/>
      <c r="D53" s="2">
        <f>SUM(D54:D58)</f>
        <v>1019928.1000000001</v>
      </c>
      <c r="E53" s="2">
        <f>SUM(E54:E58)</f>
        <v>0</v>
      </c>
      <c r="F53" s="36">
        <f t="shared" si="0"/>
        <v>1019928.1000000001</v>
      </c>
      <c r="G53" s="2">
        <f>SUM(G54:G58)</f>
        <v>-718.2</v>
      </c>
      <c r="H53" s="36">
        <f t="shared" si="1"/>
        <v>1019209.9000000001</v>
      </c>
      <c r="I53" s="2">
        <f>SUM(I54:I58)</f>
        <v>-825</v>
      </c>
      <c r="J53" s="36">
        <f t="shared" si="2"/>
        <v>1018384.9000000001</v>
      </c>
      <c r="K53" s="2">
        <f>SUM(K54:K58)</f>
        <v>432</v>
      </c>
      <c r="L53" s="36">
        <f t="shared" si="3"/>
        <v>1018816.9000000001</v>
      </c>
      <c r="M53" s="2">
        <f>SUM(M54:M58)</f>
        <v>-10</v>
      </c>
      <c r="N53" s="36">
        <f t="shared" si="4"/>
        <v>1018806.9000000001</v>
      </c>
      <c r="O53" s="2">
        <f>SUM(O54:O58)</f>
        <v>48613.799999999996</v>
      </c>
      <c r="P53" s="36">
        <f t="shared" si="5"/>
        <v>1067420.7000000002</v>
      </c>
      <c r="Q53" s="22"/>
    </row>
    <row r="54" spans="1:16" ht="12.75">
      <c r="A54" s="12" t="s">
        <v>193</v>
      </c>
      <c r="B54" s="1" t="s">
        <v>196</v>
      </c>
      <c r="C54" s="1" t="s">
        <v>221</v>
      </c>
      <c r="D54" s="2">
        <f>'прил.5'!G327</f>
        <v>13440</v>
      </c>
      <c r="E54" s="2">
        <f>'прил.5'!H327</f>
        <v>0</v>
      </c>
      <c r="F54" s="36">
        <f t="shared" si="0"/>
        <v>13440</v>
      </c>
      <c r="G54" s="2">
        <f>'прил.5'!J327</f>
        <v>0</v>
      </c>
      <c r="H54" s="36">
        <f t="shared" si="1"/>
        <v>13440</v>
      </c>
      <c r="I54" s="2">
        <f>'прил.5'!L327</f>
        <v>0</v>
      </c>
      <c r="J54" s="36">
        <f t="shared" si="2"/>
        <v>13440</v>
      </c>
      <c r="K54" s="2">
        <f>'прил.5'!N327</f>
        <v>0</v>
      </c>
      <c r="L54" s="36">
        <f t="shared" si="3"/>
        <v>13440</v>
      </c>
      <c r="M54" s="2">
        <f>'прил.5'!P327</f>
        <v>0</v>
      </c>
      <c r="N54" s="36">
        <f t="shared" si="4"/>
        <v>13440</v>
      </c>
      <c r="O54" s="2">
        <f>'прил.5'!R327</f>
        <v>0</v>
      </c>
      <c r="P54" s="36">
        <f t="shared" si="5"/>
        <v>13440</v>
      </c>
    </row>
    <row r="55" spans="1:16" ht="12.75">
      <c r="A55" s="12" t="s">
        <v>267</v>
      </c>
      <c r="B55" s="1" t="s">
        <v>196</v>
      </c>
      <c r="C55" s="1" t="s">
        <v>222</v>
      </c>
      <c r="D55" s="2">
        <f>'прил.5'!G1254</f>
        <v>114241.1</v>
      </c>
      <c r="E55" s="2">
        <f>'прил.5'!H1254</f>
        <v>0</v>
      </c>
      <c r="F55" s="36">
        <f t="shared" si="0"/>
        <v>114241.1</v>
      </c>
      <c r="G55" s="2">
        <f>'прил.5'!J1254</f>
        <v>0</v>
      </c>
      <c r="H55" s="36">
        <f t="shared" si="1"/>
        <v>114241.1</v>
      </c>
      <c r="I55" s="2">
        <f>'прил.5'!L1254</f>
        <v>0</v>
      </c>
      <c r="J55" s="36">
        <f t="shared" si="2"/>
        <v>114241.1</v>
      </c>
      <c r="K55" s="2">
        <f>'прил.5'!N1254</f>
        <v>0</v>
      </c>
      <c r="L55" s="36">
        <f t="shared" si="3"/>
        <v>114241.1</v>
      </c>
      <c r="M55" s="2">
        <f>'прил.5'!P1254</f>
        <v>365.3</v>
      </c>
      <c r="N55" s="36">
        <f t="shared" si="4"/>
        <v>114606.40000000001</v>
      </c>
      <c r="O55" s="2">
        <f>'прил.5'!R1254</f>
        <v>-13960.1</v>
      </c>
      <c r="P55" s="36">
        <f t="shared" si="5"/>
        <v>100646.3</v>
      </c>
    </row>
    <row r="56" spans="1:16" ht="12.75">
      <c r="A56" s="12" t="s">
        <v>187</v>
      </c>
      <c r="B56" s="1" t="s">
        <v>196</v>
      </c>
      <c r="C56" s="1" t="s">
        <v>223</v>
      </c>
      <c r="D56" s="2">
        <f>'прил.5'!G333+'прил.5'!G534+'прил.5'!G806+'прил.5'!G1265</f>
        <v>705038.2000000001</v>
      </c>
      <c r="E56" s="2">
        <f>'прил.5'!H333+'прил.5'!H534+'прил.5'!H806+'прил.5'!H1265</f>
        <v>0</v>
      </c>
      <c r="F56" s="36">
        <f t="shared" si="0"/>
        <v>705038.2000000001</v>
      </c>
      <c r="G56" s="2">
        <f>'прил.5'!J333+'прил.5'!J534+'прил.5'!J806+'прил.5'!J1265</f>
        <v>0</v>
      </c>
      <c r="H56" s="36">
        <f t="shared" si="1"/>
        <v>705038.2000000001</v>
      </c>
      <c r="I56" s="2">
        <f>'прил.5'!L333+'прил.5'!L534+'прил.5'!L806+'прил.5'!L1265</f>
        <v>-825</v>
      </c>
      <c r="J56" s="36">
        <f t="shared" si="2"/>
        <v>704213.2000000001</v>
      </c>
      <c r="K56" s="2">
        <f>'прил.5'!N333+'прил.5'!N534+'прил.5'!N806+'прил.5'!N1265</f>
        <v>432</v>
      </c>
      <c r="L56" s="36">
        <f t="shared" si="3"/>
        <v>704645.2000000001</v>
      </c>
      <c r="M56" s="2">
        <f>'прил.5'!P333+'прил.5'!P534+'прил.5'!P806+'прил.5'!P1265</f>
        <v>-375.3</v>
      </c>
      <c r="N56" s="36">
        <f t="shared" si="4"/>
        <v>704269.9</v>
      </c>
      <c r="O56" s="2">
        <f>'прил.5'!R333+'прил.5'!R534+'прил.5'!R806+'прил.5'!R1265</f>
        <v>64464.399999999994</v>
      </c>
      <c r="P56" s="36">
        <f t="shared" si="5"/>
        <v>768734.3</v>
      </c>
    </row>
    <row r="57" spans="1:16" ht="12.75">
      <c r="A57" s="78" t="s">
        <v>212</v>
      </c>
      <c r="B57" s="1" t="s">
        <v>196</v>
      </c>
      <c r="C57" s="1" t="s">
        <v>224</v>
      </c>
      <c r="D57" s="2">
        <f>'прил.5'!G825</f>
        <v>132317.90000000002</v>
      </c>
      <c r="E57" s="2">
        <f>'прил.5'!H825</f>
        <v>0</v>
      </c>
      <c r="F57" s="36">
        <f t="shared" si="0"/>
        <v>132317.90000000002</v>
      </c>
      <c r="G57" s="2">
        <f>'прил.5'!J825</f>
        <v>0</v>
      </c>
      <c r="H57" s="36">
        <f t="shared" si="1"/>
        <v>132317.90000000002</v>
      </c>
      <c r="I57" s="2">
        <f>'прил.5'!L825</f>
        <v>0</v>
      </c>
      <c r="J57" s="36">
        <f t="shared" si="2"/>
        <v>132317.90000000002</v>
      </c>
      <c r="K57" s="2">
        <f>'прил.5'!N825</f>
        <v>0</v>
      </c>
      <c r="L57" s="36">
        <f t="shared" si="3"/>
        <v>132317.90000000002</v>
      </c>
      <c r="M57" s="2">
        <f>'прил.5'!P825</f>
        <v>0</v>
      </c>
      <c r="N57" s="36">
        <f t="shared" si="4"/>
        <v>132317.90000000002</v>
      </c>
      <c r="O57" s="2">
        <f>'прил.5'!R825</f>
        <v>0</v>
      </c>
      <c r="P57" s="36">
        <f t="shared" si="5"/>
        <v>132317.90000000002</v>
      </c>
    </row>
    <row r="58" spans="1:16" ht="12.75">
      <c r="A58" s="12" t="s">
        <v>197</v>
      </c>
      <c r="B58" s="1" t="s">
        <v>196</v>
      </c>
      <c r="C58" s="1" t="s">
        <v>225</v>
      </c>
      <c r="D58" s="2">
        <f>'прил.5'!G1321</f>
        <v>54890.90000000001</v>
      </c>
      <c r="E58" s="2">
        <f>'прил.5'!H1321</f>
        <v>0</v>
      </c>
      <c r="F58" s="36">
        <f t="shared" si="0"/>
        <v>54890.90000000001</v>
      </c>
      <c r="G58" s="2">
        <f>'прил.5'!J1321</f>
        <v>-718.2</v>
      </c>
      <c r="H58" s="36">
        <f t="shared" si="1"/>
        <v>54172.70000000001</v>
      </c>
      <c r="I58" s="2">
        <f>'прил.5'!L1321</f>
        <v>0</v>
      </c>
      <c r="J58" s="36">
        <f t="shared" si="2"/>
        <v>54172.70000000001</v>
      </c>
      <c r="K58" s="2">
        <f>'прил.5'!N1321</f>
        <v>0</v>
      </c>
      <c r="L58" s="36">
        <f t="shared" si="3"/>
        <v>54172.70000000001</v>
      </c>
      <c r="M58" s="2">
        <f>'прил.5'!P1321</f>
        <v>0</v>
      </c>
      <c r="N58" s="36">
        <f t="shared" si="4"/>
        <v>54172.70000000001</v>
      </c>
      <c r="O58" s="2">
        <f>'прил.5'!R1321</f>
        <v>-1890.5000000000002</v>
      </c>
      <c r="P58" s="36">
        <f t="shared" si="5"/>
        <v>52282.20000000001</v>
      </c>
    </row>
    <row r="59" spans="1:17" ht="12.75">
      <c r="A59" s="12" t="s">
        <v>199</v>
      </c>
      <c r="B59" s="1" t="s">
        <v>232</v>
      </c>
      <c r="C59" s="1"/>
      <c r="D59" s="2">
        <f>SUM(D60:D62)</f>
        <v>225467.1</v>
      </c>
      <c r="E59" s="2">
        <f>SUM(E60:E62)</f>
        <v>-908.7999999999993</v>
      </c>
      <c r="F59" s="36">
        <f t="shared" si="0"/>
        <v>224558.30000000002</v>
      </c>
      <c r="G59" s="2">
        <f>SUM(G60:G62)</f>
        <v>4323.8</v>
      </c>
      <c r="H59" s="36">
        <f t="shared" si="1"/>
        <v>228882.1</v>
      </c>
      <c r="I59" s="2">
        <f>SUM(I60:I62)</f>
        <v>0</v>
      </c>
      <c r="J59" s="36">
        <f t="shared" si="2"/>
        <v>228882.1</v>
      </c>
      <c r="K59" s="2">
        <f>SUM(K60:K62)</f>
        <v>0</v>
      </c>
      <c r="L59" s="36">
        <f t="shared" si="3"/>
        <v>228882.1</v>
      </c>
      <c r="M59" s="2">
        <f>SUM(M60:M62)</f>
        <v>-3959.5</v>
      </c>
      <c r="N59" s="36">
        <f t="shared" si="4"/>
        <v>224922.6</v>
      </c>
      <c r="O59" s="2">
        <f>SUM(O60:O62)</f>
        <v>-9775</v>
      </c>
      <c r="P59" s="36">
        <f t="shared" si="5"/>
        <v>215147.6</v>
      </c>
      <c r="Q59" s="22"/>
    </row>
    <row r="60" spans="1:16" ht="12.75">
      <c r="A60" s="12" t="s">
        <v>194</v>
      </c>
      <c r="B60" s="1" t="s">
        <v>232</v>
      </c>
      <c r="C60" s="1" t="s">
        <v>221</v>
      </c>
      <c r="D60" s="2">
        <f>'прил.5'!G1174</f>
        <v>205283.9</v>
      </c>
      <c r="E60" s="2">
        <f>'прил.5'!H1174</f>
        <v>-908.7999999999993</v>
      </c>
      <c r="F60" s="36">
        <f t="shared" si="0"/>
        <v>204375.1</v>
      </c>
      <c r="G60" s="2">
        <f>'прил.5'!J1174</f>
        <v>-205</v>
      </c>
      <c r="H60" s="36">
        <f t="shared" si="1"/>
        <v>204170.1</v>
      </c>
      <c r="I60" s="2">
        <f>'прил.5'!L1174</f>
        <v>0</v>
      </c>
      <c r="J60" s="36">
        <f t="shared" si="2"/>
        <v>204170.1</v>
      </c>
      <c r="K60" s="2">
        <f>'прил.5'!N1174</f>
        <v>0</v>
      </c>
      <c r="L60" s="36">
        <f t="shared" si="3"/>
        <v>204170.1</v>
      </c>
      <c r="M60" s="2">
        <f>'прил.5'!P1174</f>
        <v>-3959.5</v>
      </c>
      <c r="N60" s="36">
        <f t="shared" si="4"/>
        <v>200210.6</v>
      </c>
      <c r="O60" s="2">
        <f>'прил.5'!R1174</f>
        <v>-9775</v>
      </c>
      <c r="P60" s="36">
        <f t="shared" si="5"/>
        <v>190435.6</v>
      </c>
    </row>
    <row r="61" spans="1:16" ht="12.75">
      <c r="A61" s="12" t="s">
        <v>275</v>
      </c>
      <c r="B61" s="1" t="s">
        <v>232</v>
      </c>
      <c r="C61" s="1" t="s">
        <v>222</v>
      </c>
      <c r="D61" s="2">
        <f>'прил.5'!G1205</f>
        <v>500</v>
      </c>
      <c r="E61" s="2">
        <f>'прил.5'!H1205</f>
        <v>0</v>
      </c>
      <c r="F61" s="36">
        <f t="shared" si="0"/>
        <v>500</v>
      </c>
      <c r="G61" s="2">
        <f>'прил.5'!J1205</f>
        <v>1714.9</v>
      </c>
      <c r="H61" s="36">
        <f t="shared" si="1"/>
        <v>2214.9</v>
      </c>
      <c r="I61" s="2">
        <f>'прил.5'!L1205</f>
        <v>0</v>
      </c>
      <c r="J61" s="36">
        <f t="shared" si="2"/>
        <v>2214.9</v>
      </c>
      <c r="K61" s="2">
        <f>'прил.5'!N1205</f>
        <v>0</v>
      </c>
      <c r="L61" s="36">
        <f t="shared" si="3"/>
        <v>2214.9</v>
      </c>
      <c r="M61" s="2">
        <f>'прил.5'!P1205</f>
        <v>0</v>
      </c>
      <c r="N61" s="36">
        <f t="shared" si="4"/>
        <v>2214.9</v>
      </c>
      <c r="O61" s="2">
        <f>'прил.5'!R1205</f>
        <v>0</v>
      </c>
      <c r="P61" s="36">
        <f t="shared" si="5"/>
        <v>2214.9</v>
      </c>
    </row>
    <row r="62" spans="1:16" ht="12.75">
      <c r="A62" s="12" t="s">
        <v>200</v>
      </c>
      <c r="B62" s="1" t="s">
        <v>232</v>
      </c>
      <c r="C62" s="1" t="s">
        <v>229</v>
      </c>
      <c r="D62" s="2">
        <f>'прил.5'!G1216+'прил.5'!G1576</f>
        <v>19683.2</v>
      </c>
      <c r="E62" s="2">
        <f>'прил.5'!H1216+'прил.5'!H1576</f>
        <v>0</v>
      </c>
      <c r="F62" s="36">
        <f t="shared" si="0"/>
        <v>19683.2</v>
      </c>
      <c r="G62" s="2">
        <f>'прил.5'!J1216+'прил.5'!J1576</f>
        <v>2813.9</v>
      </c>
      <c r="H62" s="36">
        <f t="shared" si="1"/>
        <v>22497.100000000002</v>
      </c>
      <c r="I62" s="2">
        <f>'прил.5'!L1216+'прил.5'!L1576</f>
        <v>0</v>
      </c>
      <c r="J62" s="36">
        <f t="shared" si="2"/>
        <v>22497.100000000002</v>
      </c>
      <c r="K62" s="2">
        <f>'прил.5'!N1216+'прил.5'!N1576</f>
        <v>0</v>
      </c>
      <c r="L62" s="36">
        <f t="shared" si="3"/>
        <v>22497.100000000002</v>
      </c>
      <c r="M62" s="2">
        <f>'прил.5'!P1216+'прил.5'!P1576</f>
        <v>0</v>
      </c>
      <c r="N62" s="36">
        <f t="shared" si="4"/>
        <v>22497.100000000002</v>
      </c>
      <c r="O62" s="2">
        <f>'прил.5'!R1216+'прил.5'!R1576</f>
        <v>0</v>
      </c>
      <c r="P62" s="36">
        <f t="shared" si="5"/>
        <v>22497.100000000002</v>
      </c>
    </row>
    <row r="63" spans="1:17" ht="12.75">
      <c r="A63" s="12" t="s">
        <v>201</v>
      </c>
      <c r="B63" s="1" t="s">
        <v>204</v>
      </c>
      <c r="C63" s="1"/>
      <c r="D63" s="2">
        <f>SUM(D64)</f>
        <v>44285.899999999994</v>
      </c>
      <c r="E63" s="2">
        <f>SUM(E64)</f>
        <v>0</v>
      </c>
      <c r="F63" s="36">
        <f t="shared" si="0"/>
        <v>44285.899999999994</v>
      </c>
      <c r="G63" s="2">
        <f>SUM(G64)</f>
        <v>134</v>
      </c>
      <c r="H63" s="36">
        <f t="shared" si="1"/>
        <v>44419.899999999994</v>
      </c>
      <c r="I63" s="2">
        <f>SUM(I64)</f>
        <v>-61.9</v>
      </c>
      <c r="J63" s="36">
        <f t="shared" si="2"/>
        <v>44357.99999999999</v>
      </c>
      <c r="K63" s="2">
        <f>SUM(K64)</f>
        <v>34.9</v>
      </c>
      <c r="L63" s="36">
        <f t="shared" si="3"/>
        <v>44392.899999999994</v>
      </c>
      <c r="M63" s="2">
        <f>SUM(M64)</f>
        <v>0</v>
      </c>
      <c r="N63" s="36">
        <f t="shared" si="4"/>
        <v>44392.899999999994</v>
      </c>
      <c r="O63" s="2">
        <f>SUM(O64)</f>
        <v>4108.8</v>
      </c>
      <c r="P63" s="36">
        <f t="shared" si="5"/>
        <v>48501.7</v>
      </c>
      <c r="Q63" s="22"/>
    </row>
    <row r="64" spans="1:16" ht="12.75">
      <c r="A64" s="12" t="s">
        <v>206</v>
      </c>
      <c r="B64" s="1" t="s">
        <v>204</v>
      </c>
      <c r="C64" s="1" t="s">
        <v>222</v>
      </c>
      <c r="D64" s="2">
        <f>'прил.5'!G363</f>
        <v>44285.899999999994</v>
      </c>
      <c r="E64" s="2">
        <f>'прил.5'!H363</f>
        <v>0</v>
      </c>
      <c r="F64" s="36">
        <f t="shared" si="0"/>
        <v>44285.899999999994</v>
      </c>
      <c r="G64" s="2">
        <f>'прил.5'!J363</f>
        <v>134</v>
      </c>
      <c r="H64" s="36">
        <f t="shared" si="1"/>
        <v>44419.899999999994</v>
      </c>
      <c r="I64" s="2">
        <f>'прил.5'!L363</f>
        <v>-61.9</v>
      </c>
      <c r="J64" s="36">
        <f t="shared" si="2"/>
        <v>44357.99999999999</v>
      </c>
      <c r="K64" s="2">
        <f>'прил.5'!N363</f>
        <v>34.9</v>
      </c>
      <c r="L64" s="36">
        <f t="shared" si="3"/>
        <v>44392.899999999994</v>
      </c>
      <c r="M64" s="2">
        <f>'прил.5'!P363</f>
        <v>0</v>
      </c>
      <c r="N64" s="36">
        <f t="shared" si="4"/>
        <v>44392.899999999994</v>
      </c>
      <c r="O64" s="2">
        <f>'прил.5'!R363</f>
        <v>4108.8</v>
      </c>
      <c r="P64" s="36">
        <f t="shared" si="5"/>
        <v>48501.7</v>
      </c>
    </row>
    <row r="65" spans="1:17" ht="33">
      <c r="A65" s="12" t="s">
        <v>202</v>
      </c>
      <c r="B65" s="1" t="s">
        <v>198</v>
      </c>
      <c r="C65" s="1"/>
      <c r="D65" s="2">
        <f>SUM(D66)</f>
        <v>46394.2</v>
      </c>
      <c r="E65" s="2">
        <f>SUM(E66)</f>
        <v>0</v>
      </c>
      <c r="F65" s="36">
        <f t="shared" si="0"/>
        <v>46394.2</v>
      </c>
      <c r="G65" s="2">
        <f>SUM(G66)</f>
        <v>0</v>
      </c>
      <c r="H65" s="36">
        <f t="shared" si="1"/>
        <v>46394.2</v>
      </c>
      <c r="I65" s="2">
        <f>SUM(I66)</f>
        <v>0</v>
      </c>
      <c r="J65" s="36">
        <f t="shared" si="2"/>
        <v>46394.2</v>
      </c>
      <c r="K65" s="2">
        <f>SUM(K66)</f>
        <v>0</v>
      </c>
      <c r="L65" s="36">
        <f t="shared" si="3"/>
        <v>46394.2</v>
      </c>
      <c r="M65" s="2">
        <f>SUM(M66)</f>
        <v>0</v>
      </c>
      <c r="N65" s="36">
        <f t="shared" si="4"/>
        <v>46394.2</v>
      </c>
      <c r="O65" s="2">
        <f>SUM(O66)</f>
        <v>0</v>
      </c>
      <c r="P65" s="36">
        <f t="shared" si="5"/>
        <v>46394.2</v>
      </c>
      <c r="Q65" s="22"/>
    </row>
    <row r="66" spans="1:16" ht="12.75">
      <c r="A66" s="12" t="s">
        <v>269</v>
      </c>
      <c r="B66" s="1" t="s">
        <v>198</v>
      </c>
      <c r="C66" s="1" t="s">
        <v>221</v>
      </c>
      <c r="D66" s="2">
        <f>'прил.5'!G885</f>
        <v>46394.2</v>
      </c>
      <c r="E66" s="2">
        <f>'прил.5'!H885</f>
        <v>0</v>
      </c>
      <c r="F66" s="36">
        <f t="shared" si="0"/>
        <v>46394.2</v>
      </c>
      <c r="G66" s="2">
        <f>'прил.5'!J885</f>
        <v>0</v>
      </c>
      <c r="H66" s="36">
        <f t="shared" si="1"/>
        <v>46394.2</v>
      </c>
      <c r="I66" s="2">
        <f>'прил.5'!L885</f>
        <v>0</v>
      </c>
      <c r="J66" s="36">
        <f t="shared" si="2"/>
        <v>46394.2</v>
      </c>
      <c r="K66" s="2">
        <f>'прил.5'!N885</f>
        <v>0</v>
      </c>
      <c r="L66" s="36">
        <f t="shared" si="3"/>
        <v>46394.2</v>
      </c>
      <c r="M66" s="2">
        <f>'прил.5'!P885</f>
        <v>0</v>
      </c>
      <c r="N66" s="36">
        <f t="shared" si="4"/>
        <v>46394.2</v>
      </c>
      <c r="O66" s="2">
        <f>'прил.5'!R885</f>
        <v>0</v>
      </c>
      <c r="P66" s="36">
        <f t="shared" si="5"/>
        <v>46394.2</v>
      </c>
    </row>
    <row r="67" spans="1:17" ht="12.75">
      <c r="A67" s="62" t="s">
        <v>174</v>
      </c>
      <c r="B67" s="1"/>
      <c r="C67" s="1"/>
      <c r="D67" s="2">
        <f>D19+D27+D29+D35+D40+D43+D48+D51+D53+D59+D63+D65</f>
        <v>6670495.899999999</v>
      </c>
      <c r="E67" s="2">
        <f>E19+E27+E29+E35+E40+E43+E48+E51+E53+E59+E63+E65</f>
        <v>-22308.300000000003</v>
      </c>
      <c r="F67" s="36">
        <f t="shared" si="0"/>
        <v>6648187.6</v>
      </c>
      <c r="G67" s="2">
        <f>G19+G27+G29+G35+G40+G43+G48+G51+G53+G59+G63+G65</f>
        <v>-2.7284841053187847E-12</v>
      </c>
      <c r="H67" s="36">
        <f t="shared" si="1"/>
        <v>6648187.6</v>
      </c>
      <c r="I67" s="2">
        <f>I19+I27+I29+I35+I40+I43+I48+I51+I53+I59+I63+I65</f>
        <v>-64999.99999999999</v>
      </c>
      <c r="J67" s="36">
        <f t="shared" si="2"/>
        <v>6583187.6</v>
      </c>
      <c r="K67" s="2">
        <f>K19+K27+K29+K35+K40+K43+K48+K51+K53+K59+K63+K65</f>
        <v>-939.6</v>
      </c>
      <c r="L67" s="36">
        <f t="shared" si="3"/>
        <v>6582248</v>
      </c>
      <c r="M67" s="2">
        <f>M19+M27+M29+M35+M40+M43+M48+M51+M53+M59+M63+M65</f>
        <v>12800</v>
      </c>
      <c r="N67" s="36">
        <f t="shared" si="4"/>
        <v>6595048</v>
      </c>
      <c r="O67" s="2">
        <f>O19+O27+O29+O35+O40+O43+O48+O51+O53+O59+O63+O65</f>
        <v>318523.4</v>
      </c>
      <c r="P67" s="36">
        <f t="shared" si="5"/>
        <v>6913571.4</v>
      </c>
      <c r="Q67" s="22"/>
    </row>
    <row r="69" spans="4:16" ht="12.75">
      <c r="D69" s="22"/>
      <c r="O69" s="22">
        <f>O67-'прил. 4'!Q1678</f>
        <v>0</v>
      </c>
      <c r="P69" s="22">
        <f>P67-'прил. 4'!R1678</f>
        <v>0</v>
      </c>
    </row>
    <row r="70" spans="15:16" ht="12.75">
      <c r="O70" s="22">
        <f>O67-'прил. 4'!Q1678</f>
        <v>0</v>
      </c>
      <c r="P70" s="22">
        <f>P67-'прил. 4'!R1678</f>
        <v>0</v>
      </c>
    </row>
  </sheetData>
  <mergeCells count="18">
    <mergeCell ref="I17:I18"/>
    <mergeCell ref="J17:J18"/>
    <mergeCell ref="H17:H18"/>
    <mergeCell ref="E17:E18"/>
    <mergeCell ref="F17:F18"/>
    <mergeCell ref="G17:G18"/>
    <mergeCell ref="A13:D13"/>
    <mergeCell ref="B17:B18"/>
    <mergeCell ref="C17:C18"/>
    <mergeCell ref="D17:D18"/>
    <mergeCell ref="A17:A18"/>
    <mergeCell ref="A14:D14"/>
    <mergeCell ref="O17:O18"/>
    <mergeCell ref="P17:P18"/>
    <mergeCell ref="M17:M18"/>
    <mergeCell ref="N17:N18"/>
    <mergeCell ref="K17:K18"/>
    <mergeCell ref="L17:L18"/>
  </mergeCells>
  <printOptions/>
  <pageMargins left="1.1811023622047245" right="0.3937007874015748" top="0.7874015748031497" bottom="0.7874015748031497" header="0.3937007874015748" footer="0.15748031496062992"/>
  <pageSetup fitToHeight="2" fitToWidth="1" horizontalDpi="600" verticalDpi="600" orientation="portrait" paperSize="9" scale="47" r:id="rId1"/>
  <headerFooter alignWithMargins="0">
    <oddHeader>&amp;C&amp;P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00"/>
  <sheetViews>
    <sheetView showZeros="0" zoomScale="80" zoomScaleNormal="80" workbookViewId="0" topLeftCell="A546">
      <selection activeCell="Q590" sqref="Q590"/>
    </sheetView>
  </sheetViews>
  <sheetFormatPr defaultColWidth="9.125" defaultRowHeight="12.75"/>
  <cols>
    <col min="1" max="1" width="72.25390625" style="82" customWidth="1"/>
    <col min="2" max="2" width="14.125" style="21" customWidth="1"/>
    <col min="3" max="3" width="9.75390625" style="21" customWidth="1"/>
    <col min="4" max="4" width="8.875" style="21" customWidth="1"/>
    <col min="5" max="5" width="9.875" style="21" customWidth="1"/>
    <col min="6" max="6" width="22.125" style="21" hidden="1" customWidth="1"/>
    <col min="7" max="7" width="17.625" style="21" hidden="1" customWidth="1"/>
    <col min="8" max="8" width="17.875" style="21" hidden="1" customWidth="1"/>
    <col min="9" max="9" width="19.875" style="21" hidden="1" customWidth="1"/>
    <col min="10" max="10" width="22.75390625" style="21" hidden="1" customWidth="1"/>
    <col min="11" max="11" width="17.00390625" style="21" hidden="1" customWidth="1"/>
    <col min="12" max="12" width="21.625" style="21" hidden="1" customWidth="1"/>
    <col min="13" max="13" width="15.625" style="21" hidden="1" customWidth="1"/>
    <col min="14" max="14" width="22.00390625" style="21" hidden="1" customWidth="1"/>
    <col min="15" max="15" width="14.75390625" style="21" hidden="1" customWidth="1"/>
    <col min="16" max="16" width="22.25390625" style="21" customWidth="1"/>
    <col min="17" max="17" width="14.75390625" style="21" customWidth="1"/>
    <col min="18" max="18" width="27.875" style="21" customWidth="1"/>
    <col min="19" max="16384" width="9.125" style="21" customWidth="1"/>
  </cols>
  <sheetData>
    <row r="1" spans="5:29" ht="12.75"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R1" s="135" t="s">
        <v>634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5:29" ht="12.75"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R2" s="134" t="s">
        <v>276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5:29" ht="12.75"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R3" s="134" t="s">
        <v>265</v>
      </c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5:29" ht="12.75"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9"/>
      <c r="P4" s="159"/>
      <c r="R4" s="134" t="s">
        <v>678</v>
      </c>
      <c r="S4" s="134"/>
      <c r="T4" s="134"/>
      <c r="U4" s="134"/>
      <c r="V4" s="134"/>
      <c r="W4" s="134"/>
      <c r="X4" s="134"/>
      <c r="Y4" s="134"/>
      <c r="Z4" s="134"/>
      <c r="AA4" s="134"/>
      <c r="AB4" s="140"/>
      <c r="AC4" s="140"/>
    </row>
    <row r="5" spans="5:27" ht="12.75">
      <c r="E5" s="73"/>
      <c r="F5" s="73"/>
      <c r="G5" s="73"/>
      <c r="H5" s="73"/>
      <c r="I5" s="73"/>
      <c r="J5" s="73"/>
      <c r="K5" s="73"/>
      <c r="L5" s="73"/>
      <c r="M5" s="73"/>
      <c r="N5" s="73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5:27" ht="12.75">
      <c r="E6" s="73"/>
      <c r="F6" s="73"/>
      <c r="G6" s="73"/>
      <c r="H6" s="73"/>
      <c r="I6" s="73"/>
      <c r="J6" s="73"/>
      <c r="K6" s="73"/>
      <c r="L6" s="73"/>
      <c r="M6" s="73"/>
      <c r="N6" s="73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5:29" ht="12.75"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R7" s="135" t="s">
        <v>256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</row>
    <row r="8" spans="5:29" ht="12.75"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R8" s="134" t="s">
        <v>276</v>
      </c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</row>
    <row r="9" spans="5:29" ht="12.75"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R9" s="134" t="s">
        <v>265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5:29" ht="12.75"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R10" s="134" t="s">
        <v>113</v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</row>
    <row r="13" ht="12.75">
      <c r="E13" s="5"/>
    </row>
    <row r="14" spans="1:6" ht="12.75">
      <c r="A14" s="148" t="s">
        <v>179</v>
      </c>
      <c r="B14" s="148"/>
      <c r="C14" s="148"/>
      <c r="D14" s="148"/>
      <c r="E14" s="148"/>
      <c r="F14" s="148"/>
    </row>
    <row r="15" spans="1:6" ht="57.95" customHeight="1">
      <c r="A15" s="148" t="s">
        <v>404</v>
      </c>
      <c r="B15" s="148"/>
      <c r="C15" s="148"/>
      <c r="D15" s="148"/>
      <c r="E15" s="148"/>
      <c r="F15" s="148"/>
    </row>
    <row r="16" spans="1:18" ht="16.7" customHeight="1">
      <c r="A16" s="14" t="s">
        <v>216</v>
      </c>
      <c r="B16" s="14"/>
      <c r="C16" s="14"/>
      <c r="D16" s="14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119" t="s">
        <v>645</v>
      </c>
    </row>
    <row r="17" spans="1:18" s="91" customFormat="1" ht="51.75" customHeight="1">
      <c r="A17" s="115" t="s">
        <v>217</v>
      </c>
      <c r="B17" s="115" t="s">
        <v>236</v>
      </c>
      <c r="C17" s="115" t="s">
        <v>218</v>
      </c>
      <c r="D17" s="115" t="s">
        <v>235</v>
      </c>
      <c r="E17" s="115" t="s">
        <v>237</v>
      </c>
      <c r="F17" s="117" t="s">
        <v>597</v>
      </c>
      <c r="G17" s="116" t="s">
        <v>596</v>
      </c>
      <c r="H17" s="116" t="s">
        <v>598</v>
      </c>
      <c r="I17" s="116" t="s">
        <v>596</v>
      </c>
      <c r="J17" s="116" t="s">
        <v>631</v>
      </c>
      <c r="K17" s="116" t="s">
        <v>630</v>
      </c>
      <c r="L17" s="116" t="s">
        <v>635</v>
      </c>
      <c r="M17" s="116" t="s">
        <v>596</v>
      </c>
      <c r="N17" s="116" t="s">
        <v>644</v>
      </c>
      <c r="O17" s="116" t="s">
        <v>596</v>
      </c>
      <c r="P17" s="116" t="s">
        <v>650</v>
      </c>
      <c r="Q17" s="116" t="s">
        <v>596</v>
      </c>
      <c r="R17" s="116" t="s">
        <v>651</v>
      </c>
    </row>
    <row r="18" spans="1:18" ht="33">
      <c r="A18" s="62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44" t="s">
        <v>279</v>
      </c>
      <c r="C18" s="8"/>
      <c r="D18" s="8"/>
      <c r="E18" s="115"/>
      <c r="F18" s="7">
        <f>F19+F25+F38+F44+F52+F75+F130+F149+F187+F195+F206</f>
        <v>3137666.3000000003</v>
      </c>
      <c r="G18" s="7">
        <f>G19+G25+G38+G44+G52+G75+G130+G149+G187+G195+G206</f>
        <v>0</v>
      </c>
      <c r="H18" s="36">
        <f>F18+G18</f>
        <v>3137666.3000000003</v>
      </c>
      <c r="I18" s="7">
        <f>I19+I25+I38+I44+I52+I75+I130+I149+I187+I195+I206</f>
        <v>-10964.4</v>
      </c>
      <c r="J18" s="36">
        <f>H18+I18</f>
        <v>3126701.9000000004</v>
      </c>
      <c r="K18" s="7">
        <f>K19+K25+K38+K44+K52+K75+K130+K149+K187+K195+K206</f>
        <v>-505</v>
      </c>
      <c r="L18" s="36">
        <f>J18+K18</f>
        <v>3126196.9000000004</v>
      </c>
      <c r="M18" s="7">
        <f>M19+M25+M38+M44+M52+M75+M130+M149+M187+M195+M206</f>
        <v>1917.5</v>
      </c>
      <c r="N18" s="36">
        <f>L18+M18</f>
        <v>3128114.4000000004</v>
      </c>
      <c r="O18" s="7">
        <f>O19+O25+O38+O44+O52+O75+O130+O149+O187+O195+O206</f>
        <v>0</v>
      </c>
      <c r="P18" s="36">
        <f>N18+O18</f>
        <v>3128114.4000000004</v>
      </c>
      <c r="Q18" s="7">
        <f>Q19+Q25+Q38+Q44+Q52+Q75+Q130+Q149+Q187+Q195+Q206</f>
        <v>2892.8</v>
      </c>
      <c r="R18" s="36">
        <f>P18+Q18</f>
        <v>3131007.2</v>
      </c>
    </row>
    <row r="19" spans="1:18" ht="60" customHeight="1">
      <c r="A19" s="62" t="str">
        <f ca="1">IF(ISERROR(MATCH(B19,Код_КЦСР,0)),"",INDIRECT(ADDRESS(MATCH(B19,Код_КЦСР,0)+1,2,,,"КЦСР")))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19" s="44" t="s">
        <v>281</v>
      </c>
      <c r="C19" s="8"/>
      <c r="D19" s="1"/>
      <c r="E19" s="115"/>
      <c r="F19" s="7">
        <f aca="true" t="shared" si="0" ref="F19:Q23">F20</f>
        <v>92.7</v>
      </c>
      <c r="G19" s="7">
        <f t="shared" si="0"/>
        <v>0</v>
      </c>
      <c r="H19" s="36">
        <f aca="true" t="shared" si="1" ref="H19:H91">F19+G19</f>
        <v>92.7</v>
      </c>
      <c r="I19" s="7">
        <f t="shared" si="0"/>
        <v>0</v>
      </c>
      <c r="J19" s="36">
        <f aca="true" t="shared" si="2" ref="J19:J89">H19+I19</f>
        <v>92.7</v>
      </c>
      <c r="K19" s="7">
        <f t="shared" si="0"/>
        <v>0</v>
      </c>
      <c r="L19" s="36">
        <f aca="true" t="shared" si="3" ref="L19:L87">J19+K19</f>
        <v>92.7</v>
      </c>
      <c r="M19" s="7">
        <f t="shared" si="0"/>
        <v>0</v>
      </c>
      <c r="N19" s="36">
        <f aca="true" t="shared" si="4" ref="N19:N87">L19+M19</f>
        <v>92.7</v>
      </c>
      <c r="O19" s="7">
        <f t="shared" si="0"/>
        <v>0</v>
      </c>
      <c r="P19" s="36">
        <f aca="true" t="shared" si="5" ref="P19:P82">N19+O19</f>
        <v>92.7</v>
      </c>
      <c r="Q19" s="7">
        <f t="shared" si="0"/>
        <v>0</v>
      </c>
      <c r="R19" s="36">
        <f aca="true" t="shared" si="6" ref="R19:R82">P19+Q19</f>
        <v>92.7</v>
      </c>
    </row>
    <row r="20" spans="1:18" ht="21" customHeight="1">
      <c r="A20" s="62" t="str">
        <f ca="1">IF(ISERROR(MATCH(C20,Код_Раздел,0)),"",INDIRECT(ADDRESS(MATCH(C20,Код_Раздел,0)+1,2,,,"Раздел")))</f>
        <v>Образование</v>
      </c>
      <c r="B20" s="44" t="s">
        <v>281</v>
      </c>
      <c r="C20" s="8" t="s">
        <v>203</v>
      </c>
      <c r="D20" s="1"/>
      <c r="E20" s="115"/>
      <c r="F20" s="7">
        <f t="shared" si="0"/>
        <v>92.7</v>
      </c>
      <c r="G20" s="7">
        <f t="shared" si="0"/>
        <v>0</v>
      </c>
      <c r="H20" s="36">
        <f t="shared" si="1"/>
        <v>92.7</v>
      </c>
      <c r="I20" s="7">
        <f t="shared" si="0"/>
        <v>0</v>
      </c>
      <c r="J20" s="36">
        <f t="shared" si="2"/>
        <v>92.7</v>
      </c>
      <c r="K20" s="7">
        <f t="shared" si="0"/>
        <v>0</v>
      </c>
      <c r="L20" s="36">
        <f t="shared" si="3"/>
        <v>92.7</v>
      </c>
      <c r="M20" s="7">
        <f t="shared" si="0"/>
        <v>0</v>
      </c>
      <c r="N20" s="36">
        <f t="shared" si="4"/>
        <v>92.7</v>
      </c>
      <c r="O20" s="7">
        <f t="shared" si="0"/>
        <v>0</v>
      </c>
      <c r="P20" s="36">
        <f t="shared" si="5"/>
        <v>92.7</v>
      </c>
      <c r="Q20" s="7">
        <f t="shared" si="0"/>
        <v>0</v>
      </c>
      <c r="R20" s="36">
        <f t="shared" si="6"/>
        <v>92.7</v>
      </c>
    </row>
    <row r="21" spans="1:18" ht="12.75">
      <c r="A21" s="12" t="s">
        <v>259</v>
      </c>
      <c r="B21" s="44" t="s">
        <v>281</v>
      </c>
      <c r="C21" s="8" t="s">
        <v>203</v>
      </c>
      <c r="D21" s="1" t="s">
        <v>227</v>
      </c>
      <c r="E21" s="115"/>
      <c r="F21" s="7">
        <f t="shared" si="0"/>
        <v>92.7</v>
      </c>
      <c r="G21" s="7">
        <f t="shared" si="0"/>
        <v>0</v>
      </c>
      <c r="H21" s="36">
        <f t="shared" si="1"/>
        <v>92.7</v>
      </c>
      <c r="I21" s="7">
        <f t="shared" si="0"/>
        <v>0</v>
      </c>
      <c r="J21" s="36">
        <f t="shared" si="2"/>
        <v>92.7</v>
      </c>
      <c r="K21" s="7">
        <f t="shared" si="0"/>
        <v>0</v>
      </c>
      <c r="L21" s="36">
        <f t="shared" si="3"/>
        <v>92.7</v>
      </c>
      <c r="M21" s="7">
        <f t="shared" si="0"/>
        <v>0</v>
      </c>
      <c r="N21" s="36">
        <f t="shared" si="4"/>
        <v>92.7</v>
      </c>
      <c r="O21" s="7">
        <f t="shared" si="0"/>
        <v>0</v>
      </c>
      <c r="P21" s="36">
        <f t="shared" si="5"/>
        <v>92.7</v>
      </c>
      <c r="Q21" s="7">
        <f t="shared" si="0"/>
        <v>0</v>
      </c>
      <c r="R21" s="36">
        <f t="shared" si="6"/>
        <v>92.7</v>
      </c>
    </row>
    <row r="22" spans="1:18" ht="12.75">
      <c r="A22" s="62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44" t="s">
        <v>281</v>
      </c>
      <c r="C22" s="8" t="s">
        <v>203</v>
      </c>
      <c r="D22" s="1" t="s">
        <v>227</v>
      </c>
      <c r="E22" s="115">
        <v>200</v>
      </c>
      <c r="F22" s="7">
        <f t="shared" si="0"/>
        <v>92.7</v>
      </c>
      <c r="G22" s="7">
        <f t="shared" si="0"/>
        <v>0</v>
      </c>
      <c r="H22" s="36">
        <f t="shared" si="1"/>
        <v>92.7</v>
      </c>
      <c r="I22" s="7">
        <f t="shared" si="0"/>
        <v>0</v>
      </c>
      <c r="J22" s="36">
        <f t="shared" si="2"/>
        <v>92.7</v>
      </c>
      <c r="K22" s="7">
        <f t="shared" si="0"/>
        <v>0</v>
      </c>
      <c r="L22" s="36">
        <f t="shared" si="3"/>
        <v>92.7</v>
      </c>
      <c r="M22" s="7">
        <f t="shared" si="0"/>
        <v>0</v>
      </c>
      <c r="N22" s="36">
        <f t="shared" si="4"/>
        <v>92.7</v>
      </c>
      <c r="O22" s="7">
        <f t="shared" si="0"/>
        <v>0</v>
      </c>
      <c r="P22" s="36">
        <f t="shared" si="5"/>
        <v>92.7</v>
      </c>
      <c r="Q22" s="7">
        <f t="shared" si="0"/>
        <v>0</v>
      </c>
      <c r="R22" s="36">
        <f t="shared" si="6"/>
        <v>92.7</v>
      </c>
    </row>
    <row r="23" spans="1:18" ht="37.5" customHeight="1">
      <c r="A23" s="62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44" t="s">
        <v>281</v>
      </c>
      <c r="C23" s="8" t="s">
        <v>203</v>
      </c>
      <c r="D23" s="1" t="s">
        <v>227</v>
      </c>
      <c r="E23" s="115">
        <v>240</v>
      </c>
      <c r="F23" s="7">
        <f t="shared" si="0"/>
        <v>92.7</v>
      </c>
      <c r="G23" s="7">
        <f t="shared" si="0"/>
        <v>0</v>
      </c>
      <c r="H23" s="36">
        <f t="shared" si="1"/>
        <v>92.7</v>
      </c>
      <c r="I23" s="7">
        <f t="shared" si="0"/>
        <v>0</v>
      </c>
      <c r="J23" s="36">
        <f t="shared" si="2"/>
        <v>92.7</v>
      </c>
      <c r="K23" s="7">
        <f t="shared" si="0"/>
        <v>0</v>
      </c>
      <c r="L23" s="36">
        <f t="shared" si="3"/>
        <v>92.7</v>
      </c>
      <c r="M23" s="7">
        <f t="shared" si="0"/>
        <v>0</v>
      </c>
      <c r="N23" s="36">
        <f t="shared" si="4"/>
        <v>92.7</v>
      </c>
      <c r="O23" s="7">
        <f t="shared" si="0"/>
        <v>0</v>
      </c>
      <c r="P23" s="36">
        <f t="shared" si="5"/>
        <v>92.7</v>
      </c>
      <c r="Q23" s="7">
        <f t="shared" si="0"/>
        <v>0</v>
      </c>
      <c r="R23" s="36">
        <f t="shared" si="6"/>
        <v>92.7</v>
      </c>
    </row>
    <row r="24" spans="1:18" ht="39" customHeight="1">
      <c r="A24" s="62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44" t="s">
        <v>281</v>
      </c>
      <c r="C24" s="8" t="s">
        <v>203</v>
      </c>
      <c r="D24" s="1" t="s">
        <v>227</v>
      </c>
      <c r="E24" s="115">
        <v>244</v>
      </c>
      <c r="F24" s="7">
        <f>'прил.5'!G699</f>
        <v>92.7</v>
      </c>
      <c r="G24" s="7">
        <f>'прил.5'!H699</f>
        <v>0</v>
      </c>
      <c r="H24" s="36">
        <f t="shared" si="1"/>
        <v>92.7</v>
      </c>
      <c r="I24" s="7">
        <f>'прил.5'!J699</f>
        <v>0</v>
      </c>
      <c r="J24" s="36">
        <f t="shared" si="2"/>
        <v>92.7</v>
      </c>
      <c r="K24" s="7">
        <f>'прил.5'!L699</f>
        <v>0</v>
      </c>
      <c r="L24" s="36">
        <f t="shared" si="3"/>
        <v>92.7</v>
      </c>
      <c r="M24" s="7">
        <f>'прил.5'!N699</f>
        <v>0</v>
      </c>
      <c r="N24" s="36">
        <f t="shared" si="4"/>
        <v>92.7</v>
      </c>
      <c r="O24" s="7">
        <f>'прил.5'!P699</f>
        <v>0</v>
      </c>
      <c r="P24" s="36">
        <f t="shared" si="5"/>
        <v>92.7</v>
      </c>
      <c r="Q24" s="7">
        <f>'прил.5'!R699</f>
        <v>0</v>
      </c>
      <c r="R24" s="36">
        <f t="shared" si="6"/>
        <v>92.7</v>
      </c>
    </row>
    <row r="25" spans="1:18" ht="20.25" customHeight="1">
      <c r="A25" s="97" t="str">
        <f ca="1">IF(ISERROR(MATCH(B25,Код_КЦСР,0)),"",INDIRECT(ADDRESS(MATCH(B25,Код_КЦСР,0)+1,2,,,"КЦСР")))</f>
        <v>Обеспечение питанием обучающихся в МОУ</v>
      </c>
      <c r="B25" s="98" t="s">
        <v>282</v>
      </c>
      <c r="C25" s="99"/>
      <c r="D25" s="100"/>
      <c r="E25" s="96"/>
      <c r="F25" s="101">
        <f>F30+F26</f>
        <v>6132.1</v>
      </c>
      <c r="G25" s="101">
        <f>G30+G26</f>
        <v>0</v>
      </c>
      <c r="H25" s="102">
        <f t="shared" si="1"/>
        <v>6132.1</v>
      </c>
      <c r="I25" s="101">
        <f>I30+I26</f>
        <v>0</v>
      </c>
      <c r="J25" s="102">
        <f t="shared" si="2"/>
        <v>6132.1</v>
      </c>
      <c r="K25" s="101">
        <f>K30+K26</f>
        <v>-232.3</v>
      </c>
      <c r="L25" s="102">
        <f t="shared" si="3"/>
        <v>5899.8</v>
      </c>
      <c r="M25" s="101">
        <f>M26</f>
        <v>2294.8</v>
      </c>
      <c r="N25" s="102">
        <f t="shared" si="4"/>
        <v>8194.6</v>
      </c>
      <c r="O25" s="101">
        <f>O26</f>
        <v>0</v>
      </c>
      <c r="P25" s="36">
        <f t="shared" si="5"/>
        <v>8194.6</v>
      </c>
      <c r="Q25" s="101">
        <f>Q26</f>
        <v>0</v>
      </c>
      <c r="R25" s="36">
        <f t="shared" si="6"/>
        <v>8194.6</v>
      </c>
    </row>
    <row r="26" spans="1:18" ht="20.25" customHeight="1">
      <c r="A26" s="97" t="str">
        <f ca="1">IF(ISERROR(MATCH(C26,Код_Раздел,0)),"",INDIRECT(ADDRESS(MATCH(C26,Код_Раздел,0)+1,2,,,"Раздел")))</f>
        <v>Образование</v>
      </c>
      <c r="B26" s="98" t="s">
        <v>282</v>
      </c>
      <c r="C26" s="99" t="s">
        <v>203</v>
      </c>
      <c r="D26" s="100"/>
      <c r="E26" s="96"/>
      <c r="F26" s="101">
        <f>F31</f>
        <v>6132.1</v>
      </c>
      <c r="G26" s="101"/>
      <c r="H26" s="102">
        <f t="shared" si="1"/>
        <v>6132.1</v>
      </c>
      <c r="I26" s="101"/>
      <c r="J26" s="102">
        <f t="shared" si="2"/>
        <v>6132.1</v>
      </c>
      <c r="K26" s="101">
        <f>K31</f>
        <v>-232.3</v>
      </c>
      <c r="L26" s="101">
        <f>L31</f>
        <v>5899.8</v>
      </c>
      <c r="M26" s="101">
        <f>M27+M31</f>
        <v>2294.8</v>
      </c>
      <c r="N26" s="102">
        <f>L26+M26</f>
        <v>8194.6</v>
      </c>
      <c r="O26" s="101">
        <f>O27+O31</f>
        <v>0</v>
      </c>
      <c r="P26" s="36">
        <f t="shared" si="5"/>
        <v>8194.6</v>
      </c>
      <c r="Q26" s="101">
        <f>Q27+Q31</f>
        <v>0</v>
      </c>
      <c r="R26" s="36">
        <f t="shared" si="6"/>
        <v>8194.6</v>
      </c>
    </row>
    <row r="27" spans="1:18" ht="20.25" customHeight="1">
      <c r="A27" s="103" t="s">
        <v>207</v>
      </c>
      <c r="B27" s="98" t="s">
        <v>282</v>
      </c>
      <c r="C27" s="99" t="s">
        <v>203</v>
      </c>
      <c r="D27" s="100" t="s">
        <v>203</v>
      </c>
      <c r="E27" s="96"/>
      <c r="F27" s="101"/>
      <c r="G27" s="101"/>
      <c r="H27" s="102"/>
      <c r="I27" s="101"/>
      <c r="J27" s="102"/>
      <c r="K27" s="101"/>
      <c r="L27" s="102"/>
      <c r="M27" s="101">
        <f>M28</f>
        <v>377.3</v>
      </c>
      <c r="N27" s="102">
        <f t="shared" si="4"/>
        <v>377.3</v>
      </c>
      <c r="O27" s="101">
        <f>O28</f>
        <v>0</v>
      </c>
      <c r="P27" s="36">
        <f t="shared" si="5"/>
        <v>377.3</v>
      </c>
      <c r="Q27" s="101">
        <f>Q28</f>
        <v>0</v>
      </c>
      <c r="R27" s="36">
        <f t="shared" si="6"/>
        <v>377.3</v>
      </c>
    </row>
    <row r="28" spans="1:18" ht="33">
      <c r="A28" s="97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98" t="s">
        <v>282</v>
      </c>
      <c r="C28" s="99" t="s">
        <v>203</v>
      </c>
      <c r="D28" s="100" t="s">
        <v>203</v>
      </c>
      <c r="E28" s="96">
        <v>600</v>
      </c>
      <c r="F28" s="101"/>
      <c r="G28" s="101"/>
      <c r="H28" s="102"/>
      <c r="I28" s="101"/>
      <c r="J28" s="102"/>
      <c r="K28" s="101"/>
      <c r="L28" s="102"/>
      <c r="M28" s="101">
        <f>M29</f>
        <v>377.3</v>
      </c>
      <c r="N28" s="102">
        <f t="shared" si="4"/>
        <v>377.3</v>
      </c>
      <c r="O28" s="101">
        <f>O29</f>
        <v>0</v>
      </c>
      <c r="P28" s="36">
        <f t="shared" si="5"/>
        <v>377.3</v>
      </c>
      <c r="Q28" s="101">
        <f>Q29</f>
        <v>0</v>
      </c>
      <c r="R28" s="36">
        <f t="shared" si="6"/>
        <v>377.3</v>
      </c>
    </row>
    <row r="29" spans="1:18" ht="12.75">
      <c r="A29" s="97" t="str">
        <f ca="1">IF(ISERROR(MATCH(E29,Код_КВР,0)),"",INDIRECT(ADDRESS(MATCH(E29,Код_КВР,0)+1,2,,,"КВР")))</f>
        <v>Субсидии автономным учреждениям на иные цели</v>
      </c>
      <c r="B29" s="98" t="s">
        <v>282</v>
      </c>
      <c r="C29" s="99" t="s">
        <v>203</v>
      </c>
      <c r="D29" s="100" t="s">
        <v>203</v>
      </c>
      <c r="E29" s="96">
        <v>622</v>
      </c>
      <c r="F29" s="101"/>
      <c r="G29" s="101"/>
      <c r="H29" s="102"/>
      <c r="I29" s="101"/>
      <c r="J29" s="102"/>
      <c r="K29" s="101"/>
      <c r="L29" s="102"/>
      <c r="M29" s="101">
        <f>'прил.5'!N683</f>
        <v>377.3</v>
      </c>
      <c r="N29" s="102">
        <f t="shared" si="4"/>
        <v>377.3</v>
      </c>
      <c r="O29" s="101">
        <f>'прил.5'!P683</f>
        <v>0</v>
      </c>
      <c r="P29" s="36">
        <f t="shared" si="5"/>
        <v>377.3</v>
      </c>
      <c r="Q29" s="101">
        <f>'прил.5'!R683</f>
        <v>0</v>
      </c>
      <c r="R29" s="36">
        <f t="shared" si="6"/>
        <v>377.3</v>
      </c>
    </row>
    <row r="30" spans="1:18" ht="21" customHeight="1" hidden="1">
      <c r="A30" s="62" t="str">
        <f ca="1">IF(ISERROR(MATCH(C30,Код_Раздел,0)),"",INDIRECT(ADDRESS(MATCH(C30,Код_Раздел,0)+1,2,,,"Раздел")))</f>
        <v/>
      </c>
      <c r="B30" s="44" t="s">
        <v>282</v>
      </c>
      <c r="C30" s="8"/>
      <c r="D30" s="1"/>
      <c r="E30" s="115"/>
      <c r="F30" s="7"/>
      <c r="G30" s="7">
        <f aca="true" t="shared" si="7" ref="F30:Q33">G31</f>
        <v>0</v>
      </c>
      <c r="H30" s="36">
        <f t="shared" si="1"/>
        <v>0</v>
      </c>
      <c r="I30" s="7">
        <f>I31</f>
        <v>0</v>
      </c>
      <c r="J30" s="36">
        <f t="shared" si="2"/>
        <v>0</v>
      </c>
      <c r="K30" s="7"/>
      <c r="L30" s="36">
        <f t="shared" si="3"/>
        <v>0</v>
      </c>
      <c r="M30" s="7"/>
      <c r="N30" s="36">
        <f t="shared" si="4"/>
        <v>0</v>
      </c>
      <c r="O30" s="7">
        <f>O31</f>
        <v>0</v>
      </c>
      <c r="P30" s="36">
        <f t="shared" si="5"/>
        <v>0</v>
      </c>
      <c r="Q30" s="7"/>
      <c r="R30" s="36">
        <f t="shared" si="6"/>
        <v>0</v>
      </c>
    </row>
    <row r="31" spans="1:18" ht="19.5" customHeight="1">
      <c r="A31" s="12" t="s">
        <v>259</v>
      </c>
      <c r="B31" s="44" t="s">
        <v>282</v>
      </c>
      <c r="C31" s="8" t="s">
        <v>203</v>
      </c>
      <c r="D31" s="1" t="s">
        <v>227</v>
      </c>
      <c r="E31" s="115"/>
      <c r="F31" s="7">
        <f t="shared" si="7"/>
        <v>6132.1</v>
      </c>
      <c r="G31" s="7">
        <f t="shared" si="7"/>
        <v>0</v>
      </c>
      <c r="H31" s="36">
        <f t="shared" si="1"/>
        <v>6132.1</v>
      </c>
      <c r="I31" s="7">
        <f>I32</f>
        <v>0</v>
      </c>
      <c r="J31" s="36">
        <f t="shared" si="2"/>
        <v>6132.1</v>
      </c>
      <c r="K31" s="7">
        <f>K32</f>
        <v>-232.3</v>
      </c>
      <c r="L31" s="36">
        <f t="shared" si="3"/>
        <v>5899.8</v>
      </c>
      <c r="M31" s="7">
        <f>M32</f>
        <v>1917.5</v>
      </c>
      <c r="N31" s="36">
        <f t="shared" si="4"/>
        <v>7817.3</v>
      </c>
      <c r="O31" s="7">
        <f>O32</f>
        <v>0</v>
      </c>
      <c r="P31" s="36">
        <f t="shared" si="5"/>
        <v>7817.3</v>
      </c>
      <c r="Q31" s="7">
        <f>Q32</f>
        <v>0</v>
      </c>
      <c r="R31" s="36">
        <f t="shared" si="6"/>
        <v>7817.3</v>
      </c>
    </row>
    <row r="32" spans="1:18" ht="41.25" customHeight="1">
      <c r="A32" s="62" t="str">
        <f aca="true" t="shared" si="8" ref="A32:A37">IF(ISERROR(MATCH(E32,Код_КВР,0)),"",INDIRECT(ADDRESS(MATCH(E32,Код_КВР,0)+1,2,,,"КВР")))</f>
        <v>Предоставление субсидий бюджетным, автономным учреждениям и иным некоммерческим организациям</v>
      </c>
      <c r="B32" s="44" t="s">
        <v>282</v>
      </c>
      <c r="C32" s="8" t="s">
        <v>203</v>
      </c>
      <c r="D32" s="1" t="s">
        <v>227</v>
      </c>
      <c r="E32" s="115">
        <v>600</v>
      </c>
      <c r="F32" s="7">
        <f t="shared" si="7"/>
        <v>6132.1</v>
      </c>
      <c r="G32" s="7">
        <f t="shared" si="7"/>
        <v>0</v>
      </c>
      <c r="H32" s="36">
        <f t="shared" si="1"/>
        <v>6132.1</v>
      </c>
      <c r="I32" s="7">
        <f>I33+I35</f>
        <v>0</v>
      </c>
      <c r="J32" s="36">
        <f t="shared" si="2"/>
        <v>6132.1</v>
      </c>
      <c r="K32" s="7">
        <f>K33+K35</f>
        <v>-232.3</v>
      </c>
      <c r="L32" s="36">
        <f t="shared" si="3"/>
        <v>5899.8</v>
      </c>
      <c r="M32" s="7">
        <f>M33+M35</f>
        <v>1917.5</v>
      </c>
      <c r="N32" s="36">
        <f t="shared" si="4"/>
        <v>7817.3</v>
      </c>
      <c r="O32" s="7">
        <f>O33+O35</f>
        <v>0</v>
      </c>
      <c r="P32" s="36">
        <f t="shared" si="5"/>
        <v>7817.3</v>
      </c>
      <c r="Q32" s="7">
        <f>Q33+Q35</f>
        <v>0</v>
      </c>
      <c r="R32" s="36">
        <f t="shared" si="6"/>
        <v>7817.3</v>
      </c>
    </row>
    <row r="33" spans="1:18" ht="20.25" customHeight="1">
      <c r="A33" s="62" t="str">
        <f ca="1" t="shared" si="8"/>
        <v>Субсидии бюджетным учреждениям</v>
      </c>
      <c r="B33" s="44" t="s">
        <v>282</v>
      </c>
      <c r="C33" s="8" t="s">
        <v>203</v>
      </c>
      <c r="D33" s="1" t="s">
        <v>227</v>
      </c>
      <c r="E33" s="115">
        <v>610</v>
      </c>
      <c r="F33" s="7">
        <f t="shared" si="7"/>
        <v>6132.1</v>
      </c>
      <c r="G33" s="7">
        <f t="shared" si="7"/>
        <v>0</v>
      </c>
      <c r="H33" s="36">
        <f t="shared" si="1"/>
        <v>6132.1</v>
      </c>
      <c r="I33" s="7">
        <f t="shared" si="7"/>
        <v>-4281.5</v>
      </c>
      <c r="J33" s="36">
        <f t="shared" si="2"/>
        <v>1850.6000000000004</v>
      </c>
      <c r="K33" s="7">
        <f t="shared" si="7"/>
        <v>0</v>
      </c>
      <c r="L33" s="36">
        <f t="shared" si="3"/>
        <v>1850.6000000000004</v>
      </c>
      <c r="M33" s="7">
        <f t="shared" si="7"/>
        <v>0</v>
      </c>
      <c r="N33" s="36">
        <f t="shared" si="4"/>
        <v>1850.6000000000004</v>
      </c>
      <c r="O33" s="7">
        <f t="shared" si="7"/>
        <v>0</v>
      </c>
      <c r="P33" s="36">
        <f t="shared" si="5"/>
        <v>1850.6000000000004</v>
      </c>
      <c r="Q33" s="7">
        <f t="shared" si="7"/>
        <v>0</v>
      </c>
      <c r="R33" s="36">
        <f t="shared" si="6"/>
        <v>1850.6000000000004</v>
      </c>
    </row>
    <row r="34" spans="1:18" ht="54" customHeight="1">
      <c r="A34" s="62" t="str">
        <f ca="1" t="shared" si="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" s="44" t="s">
        <v>282</v>
      </c>
      <c r="C34" s="8" t="s">
        <v>203</v>
      </c>
      <c r="D34" s="1" t="s">
        <v>227</v>
      </c>
      <c r="E34" s="115">
        <v>611</v>
      </c>
      <c r="F34" s="7">
        <f>'прил.5'!G703</f>
        <v>6132.1</v>
      </c>
      <c r="G34" s="7">
        <f>'прил.5'!H703</f>
        <v>0</v>
      </c>
      <c r="H34" s="36">
        <f t="shared" si="1"/>
        <v>6132.1</v>
      </c>
      <c r="I34" s="7">
        <f>'прил.5'!J703</f>
        <v>-4281.5</v>
      </c>
      <c r="J34" s="36">
        <f t="shared" si="2"/>
        <v>1850.6000000000004</v>
      </c>
      <c r="K34" s="7">
        <f>'прил.5'!L703</f>
        <v>0</v>
      </c>
      <c r="L34" s="36">
        <f t="shared" si="3"/>
        <v>1850.6000000000004</v>
      </c>
      <c r="M34" s="7">
        <f>'прил.5'!N703</f>
        <v>0</v>
      </c>
      <c r="N34" s="36">
        <f t="shared" si="4"/>
        <v>1850.6000000000004</v>
      </c>
      <c r="O34" s="7">
        <f>'прил.5'!P703</f>
        <v>0</v>
      </c>
      <c r="P34" s="36">
        <f t="shared" si="5"/>
        <v>1850.6000000000004</v>
      </c>
      <c r="Q34" s="7">
        <f>'прил.5'!R703</f>
        <v>0</v>
      </c>
      <c r="R34" s="36">
        <f t="shared" si="6"/>
        <v>1850.6000000000004</v>
      </c>
    </row>
    <row r="35" spans="1:18" ht="24" customHeight="1">
      <c r="A35" s="62" t="str">
        <f ca="1" t="shared" si="8"/>
        <v>Субсидии автономным учреждениям</v>
      </c>
      <c r="B35" s="44" t="s">
        <v>282</v>
      </c>
      <c r="C35" s="8" t="s">
        <v>203</v>
      </c>
      <c r="D35" s="1" t="s">
        <v>227</v>
      </c>
      <c r="E35" s="115">
        <v>620</v>
      </c>
      <c r="F35" s="7"/>
      <c r="G35" s="7"/>
      <c r="H35" s="36"/>
      <c r="I35" s="7">
        <f>I36</f>
        <v>4281.5</v>
      </c>
      <c r="J35" s="36">
        <f t="shared" si="2"/>
        <v>4281.5</v>
      </c>
      <c r="K35" s="7">
        <f>K36</f>
        <v>-232.3</v>
      </c>
      <c r="L35" s="36">
        <f t="shared" si="3"/>
        <v>4049.2</v>
      </c>
      <c r="M35" s="7">
        <f>M36+M37</f>
        <v>1917.5</v>
      </c>
      <c r="N35" s="36">
        <f t="shared" si="4"/>
        <v>5966.7</v>
      </c>
      <c r="O35" s="7">
        <f>O36+O37</f>
        <v>0</v>
      </c>
      <c r="P35" s="36">
        <f t="shared" si="5"/>
        <v>5966.7</v>
      </c>
      <c r="Q35" s="7">
        <f>Q36+Q37</f>
        <v>0</v>
      </c>
      <c r="R35" s="36">
        <f t="shared" si="6"/>
        <v>5966.7</v>
      </c>
    </row>
    <row r="36" spans="1:18" ht="56.25" customHeight="1">
      <c r="A36" s="62" t="str">
        <f ca="1" t="shared" si="8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" s="44" t="s">
        <v>282</v>
      </c>
      <c r="C36" s="8" t="s">
        <v>203</v>
      </c>
      <c r="D36" s="1" t="s">
        <v>227</v>
      </c>
      <c r="E36" s="115">
        <v>621</v>
      </c>
      <c r="F36" s="7"/>
      <c r="G36" s="7"/>
      <c r="H36" s="36"/>
      <c r="I36" s="7">
        <f>'прил.5'!J705</f>
        <v>4281.5</v>
      </c>
      <c r="J36" s="36">
        <f t="shared" si="2"/>
        <v>4281.5</v>
      </c>
      <c r="K36" s="7">
        <f>'прил.5'!L705</f>
        <v>-232.3</v>
      </c>
      <c r="L36" s="36">
        <f t="shared" si="3"/>
        <v>4049.2</v>
      </c>
      <c r="M36" s="7">
        <f>'прил.5'!N705</f>
        <v>0</v>
      </c>
      <c r="N36" s="36">
        <f t="shared" si="4"/>
        <v>4049.2</v>
      </c>
      <c r="O36" s="7">
        <f>'прил.5'!P705</f>
        <v>0</v>
      </c>
      <c r="P36" s="36">
        <f t="shared" si="5"/>
        <v>4049.2</v>
      </c>
      <c r="Q36" s="7">
        <f>'прил.5'!R705</f>
        <v>0</v>
      </c>
      <c r="R36" s="36">
        <f t="shared" si="6"/>
        <v>4049.2</v>
      </c>
    </row>
    <row r="37" spans="1:18" ht="23.25" customHeight="1">
      <c r="A37" s="62" t="str">
        <f ca="1" t="shared" si="8"/>
        <v>Субсидии автономным учреждениям на иные цели</v>
      </c>
      <c r="B37" s="44" t="s">
        <v>282</v>
      </c>
      <c r="C37" s="8" t="s">
        <v>203</v>
      </c>
      <c r="D37" s="1" t="s">
        <v>227</v>
      </c>
      <c r="E37" s="115">
        <v>622</v>
      </c>
      <c r="F37" s="7"/>
      <c r="G37" s="7"/>
      <c r="H37" s="36"/>
      <c r="I37" s="7"/>
      <c r="J37" s="36"/>
      <c r="K37" s="7"/>
      <c r="L37" s="36"/>
      <c r="M37" s="7">
        <f>'прил.5'!N706</f>
        <v>1917.5</v>
      </c>
      <c r="N37" s="36">
        <f t="shared" si="4"/>
        <v>1917.5</v>
      </c>
      <c r="O37" s="7">
        <f>'прил.5'!P706</f>
        <v>0</v>
      </c>
      <c r="P37" s="36">
        <f t="shared" si="5"/>
        <v>1917.5</v>
      </c>
      <c r="Q37" s="7">
        <f>'прил.5'!R706</f>
        <v>0</v>
      </c>
      <c r="R37" s="36">
        <f t="shared" si="6"/>
        <v>1917.5</v>
      </c>
    </row>
    <row r="38" spans="1:18" ht="36" customHeight="1">
      <c r="A38" s="62" t="str">
        <f ca="1">IF(ISERROR(MATCH(B38,Код_КЦСР,0)),"",INDIRECT(ADDRESS(MATCH(B38,Код_КЦСР,0)+1,2,,,"КЦСР")))</f>
        <v>Обеспечение работы по организации и ведению бухгалтерского (бюджетного) учета и отчетности</v>
      </c>
      <c r="B38" s="44" t="s">
        <v>284</v>
      </c>
      <c r="C38" s="8"/>
      <c r="D38" s="1"/>
      <c r="E38" s="115"/>
      <c r="F38" s="7">
        <f aca="true" t="shared" si="9" ref="F38:Q42">F39</f>
        <v>43113.9</v>
      </c>
      <c r="G38" s="7">
        <f t="shared" si="9"/>
        <v>0</v>
      </c>
      <c r="H38" s="36">
        <f t="shared" si="1"/>
        <v>43113.9</v>
      </c>
      <c r="I38" s="7">
        <f t="shared" si="9"/>
        <v>0</v>
      </c>
      <c r="J38" s="36">
        <f t="shared" si="2"/>
        <v>43113.9</v>
      </c>
      <c r="K38" s="7">
        <f t="shared" si="9"/>
        <v>-27.9</v>
      </c>
      <c r="L38" s="36">
        <f t="shared" si="3"/>
        <v>43086</v>
      </c>
      <c r="M38" s="7">
        <f t="shared" si="9"/>
        <v>0</v>
      </c>
      <c r="N38" s="36">
        <f t="shared" si="4"/>
        <v>43086</v>
      </c>
      <c r="O38" s="7">
        <f t="shared" si="9"/>
        <v>0</v>
      </c>
      <c r="P38" s="36">
        <f t="shared" si="5"/>
        <v>43086</v>
      </c>
      <c r="Q38" s="7">
        <f t="shared" si="9"/>
        <v>0</v>
      </c>
      <c r="R38" s="36">
        <f t="shared" si="6"/>
        <v>43086</v>
      </c>
    </row>
    <row r="39" spans="1:18" ht="12.75">
      <c r="A39" s="62" t="str">
        <f ca="1">IF(ISERROR(MATCH(C39,Код_Раздел,0)),"",INDIRECT(ADDRESS(MATCH(C39,Код_Раздел,0)+1,2,,,"Раздел")))</f>
        <v>Образование</v>
      </c>
      <c r="B39" s="44" t="s">
        <v>284</v>
      </c>
      <c r="C39" s="8" t="s">
        <v>203</v>
      </c>
      <c r="D39" s="1"/>
      <c r="E39" s="115"/>
      <c r="F39" s="7">
        <f t="shared" si="9"/>
        <v>43113.9</v>
      </c>
      <c r="G39" s="7">
        <f t="shared" si="9"/>
        <v>0</v>
      </c>
      <c r="H39" s="36">
        <f t="shared" si="1"/>
        <v>43113.9</v>
      </c>
      <c r="I39" s="7">
        <f t="shared" si="9"/>
        <v>0</v>
      </c>
      <c r="J39" s="36">
        <f t="shared" si="2"/>
        <v>43113.9</v>
      </c>
      <c r="K39" s="7">
        <f t="shared" si="9"/>
        <v>-27.9</v>
      </c>
      <c r="L39" s="36">
        <f t="shared" si="3"/>
        <v>43086</v>
      </c>
      <c r="M39" s="7">
        <f t="shared" si="9"/>
        <v>0</v>
      </c>
      <c r="N39" s="36">
        <f t="shared" si="4"/>
        <v>43086</v>
      </c>
      <c r="O39" s="7">
        <f t="shared" si="9"/>
        <v>0</v>
      </c>
      <c r="P39" s="36">
        <f t="shared" si="5"/>
        <v>43086</v>
      </c>
      <c r="Q39" s="7">
        <f t="shared" si="9"/>
        <v>0</v>
      </c>
      <c r="R39" s="36">
        <f t="shared" si="6"/>
        <v>43086</v>
      </c>
    </row>
    <row r="40" spans="1:18" ht="12.75">
      <c r="A40" s="12" t="s">
        <v>259</v>
      </c>
      <c r="B40" s="44" t="s">
        <v>284</v>
      </c>
      <c r="C40" s="8" t="s">
        <v>203</v>
      </c>
      <c r="D40" s="1" t="s">
        <v>227</v>
      </c>
      <c r="E40" s="115"/>
      <c r="F40" s="7">
        <f t="shared" si="9"/>
        <v>43113.9</v>
      </c>
      <c r="G40" s="7">
        <f t="shared" si="9"/>
        <v>0</v>
      </c>
      <c r="H40" s="36">
        <f t="shared" si="1"/>
        <v>43113.9</v>
      </c>
      <c r="I40" s="7">
        <f t="shared" si="9"/>
        <v>0</v>
      </c>
      <c r="J40" s="36">
        <f t="shared" si="2"/>
        <v>43113.9</v>
      </c>
      <c r="K40" s="7">
        <f t="shared" si="9"/>
        <v>-27.9</v>
      </c>
      <c r="L40" s="36">
        <f t="shared" si="3"/>
        <v>43086</v>
      </c>
      <c r="M40" s="7">
        <f t="shared" si="9"/>
        <v>0</v>
      </c>
      <c r="N40" s="36">
        <f t="shared" si="4"/>
        <v>43086</v>
      </c>
      <c r="O40" s="7">
        <f t="shared" si="9"/>
        <v>0</v>
      </c>
      <c r="P40" s="36">
        <f t="shared" si="5"/>
        <v>43086</v>
      </c>
      <c r="Q40" s="7">
        <f t="shared" si="9"/>
        <v>0</v>
      </c>
      <c r="R40" s="36">
        <f t="shared" si="6"/>
        <v>43086</v>
      </c>
    </row>
    <row r="41" spans="1:18" ht="39" customHeight="1">
      <c r="A41" s="62" t="str">
        <f ca="1">IF(ISERROR(MATCH(E41,Код_КВР,0)),"",INDIRECT(ADDRESS(MATCH(E41,Код_КВР,0)+1,2,,,"КВР")))</f>
        <v>Предоставление субсидий бюджетным, автономным учреждениям и иным некоммерческим организациям</v>
      </c>
      <c r="B41" s="44" t="s">
        <v>284</v>
      </c>
      <c r="C41" s="8" t="s">
        <v>203</v>
      </c>
      <c r="D41" s="1" t="s">
        <v>227</v>
      </c>
      <c r="E41" s="115">
        <v>600</v>
      </c>
      <c r="F41" s="7">
        <f t="shared" si="9"/>
        <v>43113.9</v>
      </c>
      <c r="G41" s="7">
        <f t="shared" si="9"/>
        <v>0</v>
      </c>
      <c r="H41" s="36">
        <f t="shared" si="1"/>
        <v>43113.9</v>
      </c>
      <c r="I41" s="7">
        <f t="shared" si="9"/>
        <v>0</v>
      </c>
      <c r="J41" s="36">
        <f t="shared" si="2"/>
        <v>43113.9</v>
      </c>
      <c r="K41" s="7">
        <f t="shared" si="9"/>
        <v>-27.9</v>
      </c>
      <c r="L41" s="36">
        <f t="shared" si="3"/>
        <v>43086</v>
      </c>
      <c r="M41" s="7">
        <f t="shared" si="9"/>
        <v>0</v>
      </c>
      <c r="N41" s="36">
        <f t="shared" si="4"/>
        <v>43086</v>
      </c>
      <c r="O41" s="7">
        <f t="shared" si="9"/>
        <v>0</v>
      </c>
      <c r="P41" s="36">
        <f t="shared" si="5"/>
        <v>43086</v>
      </c>
      <c r="Q41" s="7">
        <f t="shared" si="9"/>
        <v>0</v>
      </c>
      <c r="R41" s="36">
        <f t="shared" si="6"/>
        <v>43086</v>
      </c>
    </row>
    <row r="42" spans="1:18" ht="21.95" customHeight="1">
      <c r="A42" s="62" t="str">
        <f ca="1">IF(ISERROR(MATCH(E42,Код_КВР,0)),"",INDIRECT(ADDRESS(MATCH(E42,Код_КВР,0)+1,2,,,"КВР")))</f>
        <v>Субсидии бюджетным учреждениям</v>
      </c>
      <c r="B42" s="44" t="s">
        <v>284</v>
      </c>
      <c r="C42" s="8" t="s">
        <v>203</v>
      </c>
      <c r="D42" s="1" t="s">
        <v>227</v>
      </c>
      <c r="E42" s="115">
        <v>610</v>
      </c>
      <c r="F42" s="7">
        <f t="shared" si="9"/>
        <v>43113.9</v>
      </c>
      <c r="G42" s="7">
        <f t="shared" si="9"/>
        <v>0</v>
      </c>
      <c r="H42" s="36">
        <f t="shared" si="1"/>
        <v>43113.9</v>
      </c>
      <c r="I42" s="7">
        <f t="shared" si="9"/>
        <v>0</v>
      </c>
      <c r="J42" s="36">
        <f t="shared" si="2"/>
        <v>43113.9</v>
      </c>
      <c r="K42" s="7">
        <f t="shared" si="9"/>
        <v>-27.9</v>
      </c>
      <c r="L42" s="36">
        <f t="shared" si="3"/>
        <v>43086</v>
      </c>
      <c r="M42" s="7">
        <f t="shared" si="9"/>
        <v>0</v>
      </c>
      <c r="N42" s="36">
        <f t="shared" si="4"/>
        <v>43086</v>
      </c>
      <c r="O42" s="7">
        <f t="shared" si="9"/>
        <v>0</v>
      </c>
      <c r="P42" s="36">
        <f t="shared" si="5"/>
        <v>43086</v>
      </c>
      <c r="Q42" s="7">
        <f t="shared" si="9"/>
        <v>0</v>
      </c>
      <c r="R42" s="36">
        <f t="shared" si="6"/>
        <v>43086</v>
      </c>
    </row>
    <row r="43" spans="1:18" ht="52.7" customHeight="1">
      <c r="A43" s="62" t="str">
        <f ca="1">IF(ISERROR(MATCH(E43,Код_КВР,0)),"",INDIRECT(ADDRESS(MATCH(E43,Код_КВР,0)+1,2,,,"КВР")))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" s="44" t="s">
        <v>284</v>
      </c>
      <c r="C43" s="8" t="s">
        <v>203</v>
      </c>
      <c r="D43" s="1" t="s">
        <v>227</v>
      </c>
      <c r="E43" s="115">
        <v>611</v>
      </c>
      <c r="F43" s="7">
        <f>'прил.5'!G710</f>
        <v>43113.9</v>
      </c>
      <c r="G43" s="7">
        <f>'прил.5'!H710</f>
        <v>0</v>
      </c>
      <c r="H43" s="36">
        <f t="shared" si="1"/>
        <v>43113.9</v>
      </c>
      <c r="I43" s="7">
        <f>'прил.5'!J710</f>
        <v>0</v>
      </c>
      <c r="J43" s="36">
        <f t="shared" si="2"/>
        <v>43113.9</v>
      </c>
      <c r="K43" s="7">
        <f>'прил.5'!L710</f>
        <v>-27.9</v>
      </c>
      <c r="L43" s="36">
        <f t="shared" si="3"/>
        <v>43086</v>
      </c>
      <c r="M43" s="7">
        <f>'прил.5'!N710</f>
        <v>0</v>
      </c>
      <c r="N43" s="36">
        <f t="shared" si="4"/>
        <v>43086</v>
      </c>
      <c r="O43" s="7">
        <f>'прил.5'!P710</f>
        <v>0</v>
      </c>
      <c r="P43" s="36">
        <f t="shared" si="5"/>
        <v>43086</v>
      </c>
      <c r="Q43" s="7">
        <f>'прил.5'!R710</f>
        <v>0</v>
      </c>
      <c r="R43" s="36">
        <f t="shared" si="6"/>
        <v>43086</v>
      </c>
    </row>
    <row r="44" spans="1:18" ht="35.25" customHeight="1">
      <c r="A44" s="62" t="str">
        <f ca="1">IF(ISERROR(MATCH(B44,Код_КЦСР,0)),"",INDIRECT(ADDRESS(MATCH(B44,Код_КЦСР,0)+1,2,,,"КЦСР")))</f>
        <v>Обеспечение питанием обучающихся в МОУ за счет субвенций из областного бюджета</v>
      </c>
      <c r="B44" s="44" t="s">
        <v>433</v>
      </c>
      <c r="C44" s="8"/>
      <c r="D44" s="1"/>
      <c r="E44" s="115"/>
      <c r="F44" s="7">
        <f aca="true" t="shared" si="10" ref="F44:Q48">F45</f>
        <v>18137.8</v>
      </c>
      <c r="G44" s="7">
        <f t="shared" si="10"/>
        <v>0</v>
      </c>
      <c r="H44" s="36">
        <f t="shared" si="1"/>
        <v>18137.8</v>
      </c>
      <c r="I44" s="7">
        <f t="shared" si="10"/>
        <v>0</v>
      </c>
      <c r="J44" s="36">
        <f t="shared" si="2"/>
        <v>18137.8</v>
      </c>
      <c r="K44" s="7">
        <f t="shared" si="10"/>
        <v>0</v>
      </c>
      <c r="L44" s="36">
        <f t="shared" si="3"/>
        <v>18137.8</v>
      </c>
      <c r="M44" s="7">
        <f t="shared" si="10"/>
        <v>0</v>
      </c>
      <c r="N44" s="36">
        <f t="shared" si="4"/>
        <v>18137.8</v>
      </c>
      <c r="O44" s="7">
        <f t="shared" si="10"/>
        <v>0</v>
      </c>
      <c r="P44" s="36">
        <f t="shared" si="5"/>
        <v>18137.8</v>
      </c>
      <c r="Q44" s="7">
        <f t="shared" si="10"/>
        <v>0</v>
      </c>
      <c r="R44" s="36">
        <f t="shared" si="6"/>
        <v>18137.8</v>
      </c>
    </row>
    <row r="45" spans="1:18" ht="19.5" customHeight="1">
      <c r="A45" s="62" t="str">
        <f ca="1">IF(ISERROR(MATCH(C45,Код_Раздел,0)),"",INDIRECT(ADDRESS(MATCH(C45,Код_Раздел,0)+1,2,,,"Раздел")))</f>
        <v>Образование</v>
      </c>
      <c r="B45" s="44" t="s">
        <v>433</v>
      </c>
      <c r="C45" s="8" t="s">
        <v>203</v>
      </c>
      <c r="D45" s="1"/>
      <c r="E45" s="115"/>
      <c r="F45" s="7">
        <f t="shared" si="10"/>
        <v>18137.8</v>
      </c>
      <c r="G45" s="7">
        <f t="shared" si="10"/>
        <v>0</v>
      </c>
      <c r="H45" s="36">
        <f t="shared" si="1"/>
        <v>18137.8</v>
      </c>
      <c r="I45" s="7">
        <f>I46</f>
        <v>0</v>
      </c>
      <c r="J45" s="36">
        <f t="shared" si="2"/>
        <v>18137.8</v>
      </c>
      <c r="K45" s="7">
        <f>K46</f>
        <v>0</v>
      </c>
      <c r="L45" s="36">
        <f t="shared" si="3"/>
        <v>18137.8</v>
      </c>
      <c r="M45" s="7">
        <f>M46</f>
        <v>0</v>
      </c>
      <c r="N45" s="36">
        <f t="shared" si="4"/>
        <v>18137.8</v>
      </c>
      <c r="O45" s="7">
        <f>O46</f>
        <v>0</v>
      </c>
      <c r="P45" s="36">
        <f t="shared" si="5"/>
        <v>18137.8</v>
      </c>
      <c r="Q45" s="7">
        <f>Q46</f>
        <v>0</v>
      </c>
      <c r="R45" s="36">
        <f t="shared" si="6"/>
        <v>18137.8</v>
      </c>
    </row>
    <row r="46" spans="1:18" ht="19.5" customHeight="1">
      <c r="A46" s="12" t="s">
        <v>259</v>
      </c>
      <c r="B46" s="44" t="s">
        <v>433</v>
      </c>
      <c r="C46" s="8" t="s">
        <v>203</v>
      </c>
      <c r="D46" s="1" t="s">
        <v>227</v>
      </c>
      <c r="E46" s="115"/>
      <c r="F46" s="7">
        <f t="shared" si="10"/>
        <v>18137.8</v>
      </c>
      <c r="G46" s="7">
        <f t="shared" si="10"/>
        <v>0</v>
      </c>
      <c r="H46" s="36">
        <f t="shared" si="1"/>
        <v>18137.8</v>
      </c>
      <c r="I46" s="7">
        <f>I47</f>
        <v>0</v>
      </c>
      <c r="J46" s="36">
        <f t="shared" si="2"/>
        <v>18137.8</v>
      </c>
      <c r="K46" s="7">
        <f>K47</f>
        <v>0</v>
      </c>
      <c r="L46" s="36">
        <f t="shared" si="3"/>
        <v>18137.8</v>
      </c>
      <c r="M46" s="7">
        <f>M47</f>
        <v>0</v>
      </c>
      <c r="N46" s="36">
        <f t="shared" si="4"/>
        <v>18137.8</v>
      </c>
      <c r="O46" s="7">
        <f>O47</f>
        <v>0</v>
      </c>
      <c r="P46" s="36">
        <f t="shared" si="5"/>
        <v>18137.8</v>
      </c>
      <c r="Q46" s="7">
        <f>Q47</f>
        <v>0</v>
      </c>
      <c r="R46" s="36">
        <f t="shared" si="6"/>
        <v>18137.8</v>
      </c>
    </row>
    <row r="47" spans="1:18" ht="36" customHeight="1">
      <c r="A47" s="62" t="str">
        <f ca="1">IF(ISERROR(MATCH(E47,Код_КВР,0)),"",INDIRECT(ADDRESS(MATCH(E47,Код_КВР,0)+1,2,,,"КВР")))</f>
        <v>Предоставление субсидий бюджетным, автономным учреждениям и иным некоммерческим организациям</v>
      </c>
      <c r="B47" s="44" t="s">
        <v>433</v>
      </c>
      <c r="C47" s="8" t="s">
        <v>203</v>
      </c>
      <c r="D47" s="1" t="s">
        <v>227</v>
      </c>
      <c r="E47" s="115">
        <v>600</v>
      </c>
      <c r="F47" s="7">
        <f t="shared" si="10"/>
        <v>18137.8</v>
      </c>
      <c r="G47" s="7">
        <f t="shared" si="10"/>
        <v>0</v>
      </c>
      <c r="H47" s="36">
        <f t="shared" si="1"/>
        <v>18137.8</v>
      </c>
      <c r="I47" s="7">
        <f>I48+I50</f>
        <v>0</v>
      </c>
      <c r="J47" s="36">
        <f t="shared" si="2"/>
        <v>18137.8</v>
      </c>
      <c r="K47" s="7">
        <f>K48+K50</f>
        <v>0</v>
      </c>
      <c r="L47" s="36">
        <f t="shared" si="3"/>
        <v>18137.8</v>
      </c>
      <c r="M47" s="7">
        <f>M48+M50</f>
        <v>0</v>
      </c>
      <c r="N47" s="36">
        <f t="shared" si="4"/>
        <v>18137.8</v>
      </c>
      <c r="O47" s="7">
        <f>O48+O50</f>
        <v>0</v>
      </c>
      <c r="P47" s="36">
        <f t="shared" si="5"/>
        <v>18137.8</v>
      </c>
      <c r="Q47" s="7">
        <f>Q48+Q50</f>
        <v>0</v>
      </c>
      <c r="R47" s="36">
        <f t="shared" si="6"/>
        <v>18137.8</v>
      </c>
    </row>
    <row r="48" spans="1:18" ht="18.75" customHeight="1">
      <c r="A48" s="62" t="str">
        <f ca="1">IF(ISERROR(MATCH(E48,Код_КВР,0)),"",INDIRECT(ADDRESS(MATCH(E48,Код_КВР,0)+1,2,,,"КВР")))</f>
        <v>Субсидии бюджетным учреждениям</v>
      </c>
      <c r="B48" s="44" t="s">
        <v>433</v>
      </c>
      <c r="C48" s="8" t="s">
        <v>203</v>
      </c>
      <c r="D48" s="1" t="s">
        <v>227</v>
      </c>
      <c r="E48" s="115">
        <v>610</v>
      </c>
      <c r="F48" s="7">
        <f t="shared" si="10"/>
        <v>18137.8</v>
      </c>
      <c r="G48" s="7">
        <f t="shared" si="10"/>
        <v>0</v>
      </c>
      <c r="H48" s="36">
        <f t="shared" si="1"/>
        <v>18137.8</v>
      </c>
      <c r="I48" s="7">
        <f t="shared" si="10"/>
        <v>-12299.8</v>
      </c>
      <c r="J48" s="36">
        <f t="shared" si="2"/>
        <v>5838</v>
      </c>
      <c r="K48" s="7">
        <f t="shared" si="10"/>
        <v>0</v>
      </c>
      <c r="L48" s="36">
        <f t="shared" si="3"/>
        <v>5838</v>
      </c>
      <c r="M48" s="7">
        <f t="shared" si="10"/>
        <v>0</v>
      </c>
      <c r="N48" s="36">
        <f t="shared" si="4"/>
        <v>5838</v>
      </c>
      <c r="O48" s="7">
        <f t="shared" si="10"/>
        <v>0</v>
      </c>
      <c r="P48" s="36">
        <f t="shared" si="5"/>
        <v>5838</v>
      </c>
      <c r="Q48" s="7">
        <f t="shared" si="10"/>
        <v>-614.2</v>
      </c>
      <c r="R48" s="36">
        <f t="shared" si="6"/>
        <v>5223.8</v>
      </c>
    </row>
    <row r="49" spans="1:18" ht="60" customHeight="1">
      <c r="A49" s="62" t="str">
        <f ca="1">IF(ISERROR(MATCH(E49,Код_КВР,0)),"",INDIRECT(ADDRESS(MATCH(E49,Код_КВР,0)+1,2,,,"КВР")))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" s="44" t="s">
        <v>433</v>
      </c>
      <c r="C49" s="8" t="s">
        <v>203</v>
      </c>
      <c r="D49" s="1" t="s">
        <v>227</v>
      </c>
      <c r="E49" s="115">
        <v>611</v>
      </c>
      <c r="F49" s="7">
        <f>'прил.5'!G714</f>
        <v>18137.8</v>
      </c>
      <c r="G49" s="7">
        <f>'прил.5'!H714</f>
        <v>0</v>
      </c>
      <c r="H49" s="36">
        <f t="shared" si="1"/>
        <v>18137.8</v>
      </c>
      <c r="I49" s="7">
        <f>'прил.5'!J714</f>
        <v>-12299.8</v>
      </c>
      <c r="J49" s="36">
        <f t="shared" si="2"/>
        <v>5838</v>
      </c>
      <c r="K49" s="7">
        <f>'прил.5'!L714</f>
        <v>0</v>
      </c>
      <c r="L49" s="36">
        <f t="shared" si="3"/>
        <v>5838</v>
      </c>
      <c r="M49" s="7">
        <f>'прил.5'!N714</f>
        <v>0</v>
      </c>
      <c r="N49" s="36">
        <f t="shared" si="4"/>
        <v>5838</v>
      </c>
      <c r="O49" s="7">
        <f>'прил.5'!P714</f>
        <v>0</v>
      </c>
      <c r="P49" s="36">
        <f t="shared" si="5"/>
        <v>5838</v>
      </c>
      <c r="Q49" s="7">
        <f>'прил.5'!R714</f>
        <v>-614.2</v>
      </c>
      <c r="R49" s="36">
        <f t="shared" si="6"/>
        <v>5223.8</v>
      </c>
    </row>
    <row r="50" spans="1:18" ht="19.5" customHeight="1">
      <c r="A50" s="62" t="str">
        <f ca="1">IF(ISERROR(MATCH(E50,Код_КВР,0)),"",INDIRECT(ADDRESS(MATCH(E50,Код_КВР,0)+1,2,,,"КВР")))</f>
        <v>Субсидии автономным учреждениям</v>
      </c>
      <c r="B50" s="44" t="s">
        <v>433</v>
      </c>
      <c r="C50" s="8" t="s">
        <v>203</v>
      </c>
      <c r="D50" s="1" t="s">
        <v>227</v>
      </c>
      <c r="E50" s="115">
        <v>620</v>
      </c>
      <c r="F50" s="7"/>
      <c r="G50" s="7"/>
      <c r="H50" s="36"/>
      <c r="I50" s="7">
        <f>I51</f>
        <v>12299.8</v>
      </c>
      <c r="J50" s="36">
        <f t="shared" si="2"/>
        <v>12299.8</v>
      </c>
      <c r="K50" s="7">
        <f>K51</f>
        <v>0</v>
      </c>
      <c r="L50" s="36">
        <f t="shared" si="3"/>
        <v>12299.8</v>
      </c>
      <c r="M50" s="7">
        <f>M51</f>
        <v>0</v>
      </c>
      <c r="N50" s="36">
        <f t="shared" si="4"/>
        <v>12299.8</v>
      </c>
      <c r="O50" s="7">
        <f>O51</f>
        <v>0</v>
      </c>
      <c r="P50" s="36">
        <f t="shared" si="5"/>
        <v>12299.8</v>
      </c>
      <c r="Q50" s="7">
        <f>Q51</f>
        <v>614.2</v>
      </c>
      <c r="R50" s="36">
        <f t="shared" si="6"/>
        <v>12914</v>
      </c>
    </row>
    <row r="51" spans="1:18" ht="54" customHeight="1">
      <c r="A51" s="62" t="str">
        <f ca="1">IF(ISERROR(MATCH(E51,Код_КВР,0)),"",INDIRECT(ADDRESS(MATCH(E51,Код_КВР,0)+1,2,,,"КВР")))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" s="44" t="s">
        <v>433</v>
      </c>
      <c r="C51" s="8" t="s">
        <v>203</v>
      </c>
      <c r="D51" s="1" t="s">
        <v>227</v>
      </c>
      <c r="E51" s="115">
        <v>621</v>
      </c>
      <c r="F51" s="7"/>
      <c r="G51" s="7"/>
      <c r="H51" s="36"/>
      <c r="I51" s="7">
        <f>'прил.5'!J716</f>
        <v>12299.8</v>
      </c>
      <c r="J51" s="36">
        <f t="shared" si="2"/>
        <v>12299.8</v>
      </c>
      <c r="K51" s="7">
        <f>'прил.5'!L716</f>
        <v>0</v>
      </c>
      <c r="L51" s="36">
        <f t="shared" si="3"/>
        <v>12299.8</v>
      </c>
      <c r="M51" s="7">
        <f>'прил.5'!N716</f>
        <v>0</v>
      </c>
      <c r="N51" s="36">
        <f t="shared" si="4"/>
        <v>12299.8</v>
      </c>
      <c r="O51" s="7">
        <f>'прил.5'!P716</f>
        <v>0</v>
      </c>
      <c r="P51" s="36">
        <f t="shared" si="5"/>
        <v>12299.8</v>
      </c>
      <c r="Q51" s="7">
        <f>'прил.5'!R716</f>
        <v>614.2</v>
      </c>
      <c r="R51" s="36">
        <f t="shared" si="6"/>
        <v>12914</v>
      </c>
    </row>
    <row r="52" spans="1:18" ht="21" customHeight="1">
      <c r="A52" s="62" t="str">
        <f ca="1">IF(ISERROR(MATCH(B52,Код_КЦСР,0)),"",INDIRECT(ADDRESS(MATCH(B52,Код_КЦСР,0)+1,2,,,"КЦСР")))</f>
        <v>Дошкольное образование</v>
      </c>
      <c r="B52" s="44" t="s">
        <v>286</v>
      </c>
      <c r="C52" s="8"/>
      <c r="D52" s="1"/>
      <c r="E52" s="115"/>
      <c r="F52" s="7">
        <f>F53+F61+F69</f>
        <v>1368058.9000000001</v>
      </c>
      <c r="G52" s="7">
        <f>G53+G61+G69</f>
        <v>0</v>
      </c>
      <c r="H52" s="36">
        <f t="shared" si="1"/>
        <v>1368058.9000000001</v>
      </c>
      <c r="I52" s="7">
        <f>I53+I61+I69</f>
        <v>0</v>
      </c>
      <c r="J52" s="36">
        <f t="shared" si="2"/>
        <v>1368058.9000000001</v>
      </c>
      <c r="K52" s="7">
        <f>K53+K61+K69</f>
        <v>-167.8</v>
      </c>
      <c r="L52" s="36">
        <f t="shared" si="3"/>
        <v>1367891.1</v>
      </c>
      <c r="M52" s="7">
        <f>M53+M61+M69</f>
        <v>-2500</v>
      </c>
      <c r="N52" s="36">
        <f t="shared" si="4"/>
        <v>1365391.1</v>
      </c>
      <c r="O52" s="7">
        <f>O53+O61+O69</f>
        <v>0</v>
      </c>
      <c r="P52" s="36">
        <f t="shared" si="5"/>
        <v>1365391.1</v>
      </c>
      <c r="Q52" s="7">
        <f>Q53+Q61+Q69</f>
        <v>0</v>
      </c>
      <c r="R52" s="36">
        <f t="shared" si="6"/>
        <v>1365391.1</v>
      </c>
    </row>
    <row r="53" spans="1:18" ht="69" customHeight="1">
      <c r="A53" s="62" t="str">
        <f ca="1">IF(ISERROR(MATCH(B53,Код_КЦСР,0)),"",INDIRECT(ADDRESS(MATCH(B53,Код_КЦСР,0)+1,2,,,"КЦСР")))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3" s="44" t="s">
        <v>287</v>
      </c>
      <c r="C53" s="8"/>
      <c r="D53" s="1"/>
      <c r="E53" s="115"/>
      <c r="F53" s="7">
        <f aca="true" t="shared" si="11" ref="F53:Q55">F54</f>
        <v>242839.90000000002</v>
      </c>
      <c r="G53" s="7">
        <f t="shared" si="11"/>
        <v>0</v>
      </c>
      <c r="H53" s="36">
        <f t="shared" si="1"/>
        <v>242839.90000000002</v>
      </c>
      <c r="I53" s="7">
        <f t="shared" si="11"/>
        <v>0</v>
      </c>
      <c r="J53" s="36">
        <f t="shared" si="2"/>
        <v>242839.90000000002</v>
      </c>
      <c r="K53" s="7">
        <f t="shared" si="11"/>
        <v>-167.8</v>
      </c>
      <c r="L53" s="36">
        <f t="shared" si="3"/>
        <v>242672.10000000003</v>
      </c>
      <c r="M53" s="7">
        <f t="shared" si="11"/>
        <v>-2500</v>
      </c>
      <c r="N53" s="36">
        <f t="shared" si="4"/>
        <v>240172.10000000003</v>
      </c>
      <c r="O53" s="7">
        <f t="shared" si="11"/>
        <v>0</v>
      </c>
      <c r="P53" s="36">
        <f t="shared" si="5"/>
        <v>240172.10000000003</v>
      </c>
      <c r="Q53" s="7">
        <f t="shared" si="11"/>
        <v>0</v>
      </c>
      <c r="R53" s="36">
        <f t="shared" si="6"/>
        <v>240172.10000000003</v>
      </c>
    </row>
    <row r="54" spans="1:18" ht="18.75" customHeight="1">
      <c r="A54" s="62" t="str">
        <f ca="1">IF(ISERROR(MATCH(C54,Код_Раздел,0)),"",INDIRECT(ADDRESS(MATCH(C54,Код_Раздел,0)+1,2,,,"Раздел")))</f>
        <v>Образование</v>
      </c>
      <c r="B54" s="44" t="s">
        <v>287</v>
      </c>
      <c r="C54" s="8" t="s">
        <v>203</v>
      </c>
      <c r="D54" s="1"/>
      <c r="E54" s="115"/>
      <c r="F54" s="7">
        <f t="shared" si="11"/>
        <v>242839.90000000002</v>
      </c>
      <c r="G54" s="7">
        <f t="shared" si="11"/>
        <v>0</v>
      </c>
      <c r="H54" s="36">
        <f t="shared" si="1"/>
        <v>242839.90000000002</v>
      </c>
      <c r="I54" s="7">
        <f t="shared" si="11"/>
        <v>0</v>
      </c>
      <c r="J54" s="36">
        <f t="shared" si="2"/>
        <v>242839.90000000002</v>
      </c>
      <c r="K54" s="7">
        <f t="shared" si="11"/>
        <v>-167.8</v>
      </c>
      <c r="L54" s="36">
        <f t="shared" si="3"/>
        <v>242672.10000000003</v>
      </c>
      <c r="M54" s="7">
        <f t="shared" si="11"/>
        <v>-2500</v>
      </c>
      <c r="N54" s="36">
        <f t="shared" si="4"/>
        <v>240172.10000000003</v>
      </c>
      <c r="O54" s="7">
        <f t="shared" si="11"/>
        <v>0</v>
      </c>
      <c r="P54" s="36">
        <f t="shared" si="5"/>
        <v>240172.10000000003</v>
      </c>
      <c r="Q54" s="7">
        <f t="shared" si="11"/>
        <v>0</v>
      </c>
      <c r="R54" s="36">
        <f t="shared" si="6"/>
        <v>240172.10000000003</v>
      </c>
    </row>
    <row r="55" spans="1:18" ht="18.75" customHeight="1">
      <c r="A55" s="12" t="s">
        <v>266</v>
      </c>
      <c r="B55" s="44" t="s">
        <v>287</v>
      </c>
      <c r="C55" s="8" t="s">
        <v>203</v>
      </c>
      <c r="D55" s="1" t="s">
        <v>221</v>
      </c>
      <c r="E55" s="115"/>
      <c r="F55" s="7">
        <f t="shared" si="11"/>
        <v>242839.90000000002</v>
      </c>
      <c r="G55" s="7">
        <f t="shared" si="11"/>
        <v>0</v>
      </c>
      <c r="H55" s="36">
        <f t="shared" si="1"/>
        <v>242839.90000000002</v>
      </c>
      <c r="I55" s="7">
        <f t="shared" si="11"/>
        <v>0</v>
      </c>
      <c r="J55" s="36">
        <f t="shared" si="2"/>
        <v>242839.90000000002</v>
      </c>
      <c r="K55" s="7">
        <f t="shared" si="11"/>
        <v>-167.8</v>
      </c>
      <c r="L55" s="36">
        <f t="shared" si="3"/>
        <v>242672.10000000003</v>
      </c>
      <c r="M55" s="7">
        <f t="shared" si="11"/>
        <v>-2500</v>
      </c>
      <c r="N55" s="36">
        <f t="shared" si="4"/>
        <v>240172.10000000003</v>
      </c>
      <c r="O55" s="7">
        <f t="shared" si="11"/>
        <v>0</v>
      </c>
      <c r="P55" s="36">
        <f t="shared" si="5"/>
        <v>240172.10000000003</v>
      </c>
      <c r="Q55" s="7">
        <f t="shared" si="11"/>
        <v>0</v>
      </c>
      <c r="R55" s="36">
        <f t="shared" si="6"/>
        <v>240172.10000000003</v>
      </c>
    </row>
    <row r="56" spans="1:18" ht="36" customHeight="1">
      <c r="A56" s="62" t="str">
        <f ca="1">IF(ISERROR(MATCH(E56,Код_КВР,0)),"",INDIRECT(ADDRESS(MATCH(E56,Код_КВР,0)+1,2,,,"КВР")))</f>
        <v>Предоставление субсидий бюджетным, автономным учреждениям и иным некоммерческим организациям</v>
      </c>
      <c r="B56" s="44" t="s">
        <v>287</v>
      </c>
      <c r="C56" s="8" t="s">
        <v>203</v>
      </c>
      <c r="D56" s="1" t="s">
        <v>221</v>
      </c>
      <c r="E56" s="115">
        <v>600</v>
      </c>
      <c r="F56" s="7">
        <f>F57+F59</f>
        <v>242839.90000000002</v>
      </c>
      <c r="G56" s="7">
        <f>G57+G59</f>
        <v>0</v>
      </c>
      <c r="H56" s="36">
        <f t="shared" si="1"/>
        <v>242839.90000000002</v>
      </c>
      <c r="I56" s="7">
        <f>I57+I59</f>
        <v>0</v>
      </c>
      <c r="J56" s="36">
        <f t="shared" si="2"/>
        <v>242839.90000000002</v>
      </c>
      <c r="K56" s="7">
        <f>K57+K59</f>
        <v>-167.8</v>
      </c>
      <c r="L56" s="36">
        <f t="shared" si="3"/>
        <v>242672.10000000003</v>
      </c>
      <c r="M56" s="7">
        <f>M57+M59</f>
        <v>-2500</v>
      </c>
      <c r="N56" s="36">
        <f t="shared" si="4"/>
        <v>240172.10000000003</v>
      </c>
      <c r="O56" s="7">
        <f>O57+O59</f>
        <v>0</v>
      </c>
      <c r="P56" s="36">
        <f t="shared" si="5"/>
        <v>240172.10000000003</v>
      </c>
      <c r="Q56" s="7">
        <f>Q57+Q59</f>
        <v>0</v>
      </c>
      <c r="R56" s="36">
        <f t="shared" si="6"/>
        <v>240172.10000000003</v>
      </c>
    </row>
    <row r="57" spans="1:18" ht="18.75" customHeight="1">
      <c r="A57" s="62" t="str">
        <f ca="1">IF(ISERROR(MATCH(E57,Код_КВР,0)),"",INDIRECT(ADDRESS(MATCH(E57,Код_КВР,0)+1,2,,,"КВР")))</f>
        <v>Субсидии бюджетным учреждениям</v>
      </c>
      <c r="B57" s="44" t="s">
        <v>287</v>
      </c>
      <c r="C57" s="8" t="s">
        <v>203</v>
      </c>
      <c r="D57" s="1" t="s">
        <v>221</v>
      </c>
      <c r="E57" s="115">
        <v>610</v>
      </c>
      <c r="F57" s="7">
        <f>F58</f>
        <v>221390.7</v>
      </c>
      <c r="G57" s="7">
        <f>G58</f>
        <v>0</v>
      </c>
      <c r="H57" s="36">
        <f t="shared" si="1"/>
        <v>221390.7</v>
      </c>
      <c r="I57" s="7">
        <f>I58</f>
        <v>0</v>
      </c>
      <c r="J57" s="36">
        <f t="shared" si="2"/>
        <v>221390.7</v>
      </c>
      <c r="K57" s="7">
        <f>K58</f>
        <v>0</v>
      </c>
      <c r="L57" s="36">
        <f t="shared" si="3"/>
        <v>221390.7</v>
      </c>
      <c r="M57" s="7">
        <f>M58</f>
        <v>-2500</v>
      </c>
      <c r="N57" s="36">
        <f t="shared" si="4"/>
        <v>218890.7</v>
      </c>
      <c r="O57" s="7">
        <f>O58</f>
        <v>0</v>
      </c>
      <c r="P57" s="36">
        <f t="shared" si="5"/>
        <v>218890.7</v>
      </c>
      <c r="Q57" s="7">
        <f>Q58</f>
        <v>0</v>
      </c>
      <c r="R57" s="36">
        <f t="shared" si="6"/>
        <v>218890.7</v>
      </c>
    </row>
    <row r="58" spans="1:18" ht="57" customHeight="1">
      <c r="A58" s="62" t="str">
        <f ca="1">IF(ISERROR(MATCH(E58,Код_КВР,0)),"",INDIRECT(ADDRESS(MATCH(E58,Код_КВР,0)+1,2,,,"КВР")))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" s="44" t="s">
        <v>287</v>
      </c>
      <c r="C58" s="8" t="s">
        <v>203</v>
      </c>
      <c r="D58" s="1" t="s">
        <v>221</v>
      </c>
      <c r="E58" s="115">
        <v>611</v>
      </c>
      <c r="F58" s="7">
        <f>'прил.5'!G585</f>
        <v>221390.7</v>
      </c>
      <c r="G58" s="7">
        <f>'прил.5'!H585</f>
        <v>0</v>
      </c>
      <c r="H58" s="36">
        <f t="shared" si="1"/>
        <v>221390.7</v>
      </c>
      <c r="I58" s="7">
        <f>'прил.5'!J585</f>
        <v>0</v>
      </c>
      <c r="J58" s="36">
        <f t="shared" si="2"/>
        <v>221390.7</v>
      </c>
      <c r="K58" s="7">
        <f>'прил.5'!L585</f>
        <v>0</v>
      </c>
      <c r="L58" s="36">
        <f t="shared" si="3"/>
        <v>221390.7</v>
      </c>
      <c r="M58" s="7">
        <f>'прил.5'!N585</f>
        <v>-2500</v>
      </c>
      <c r="N58" s="36">
        <f t="shared" si="4"/>
        <v>218890.7</v>
      </c>
      <c r="O58" s="7">
        <f>'прил.5'!P585</f>
        <v>0</v>
      </c>
      <c r="P58" s="36">
        <f t="shared" si="5"/>
        <v>218890.7</v>
      </c>
      <c r="Q58" s="7">
        <f>'прил.5'!R585</f>
        <v>0</v>
      </c>
      <c r="R58" s="36">
        <f t="shared" si="6"/>
        <v>218890.7</v>
      </c>
    </row>
    <row r="59" spans="1:18" ht="24" customHeight="1">
      <c r="A59" s="62" t="str">
        <f ca="1">IF(ISERROR(MATCH(E59,Код_КВР,0)),"",INDIRECT(ADDRESS(MATCH(E59,Код_КВР,0)+1,2,,,"КВР")))</f>
        <v>Субсидии автономным учреждениям</v>
      </c>
      <c r="B59" s="44" t="s">
        <v>287</v>
      </c>
      <c r="C59" s="8" t="s">
        <v>203</v>
      </c>
      <c r="D59" s="1" t="s">
        <v>221</v>
      </c>
      <c r="E59" s="115">
        <v>620</v>
      </c>
      <c r="F59" s="7">
        <f>F60</f>
        <v>21449.2</v>
      </c>
      <c r="G59" s="7">
        <f>G60</f>
        <v>0</v>
      </c>
      <c r="H59" s="36">
        <f t="shared" si="1"/>
        <v>21449.2</v>
      </c>
      <c r="I59" s="7">
        <f>I60</f>
        <v>0</v>
      </c>
      <c r="J59" s="36">
        <f t="shared" si="2"/>
        <v>21449.2</v>
      </c>
      <c r="K59" s="7">
        <f>K60</f>
        <v>-167.8</v>
      </c>
      <c r="L59" s="36">
        <f t="shared" si="3"/>
        <v>21281.4</v>
      </c>
      <c r="M59" s="7">
        <f>M60</f>
        <v>0</v>
      </c>
      <c r="N59" s="36">
        <f t="shared" si="4"/>
        <v>21281.4</v>
      </c>
      <c r="O59" s="7">
        <f>O60</f>
        <v>0</v>
      </c>
      <c r="P59" s="36">
        <f t="shared" si="5"/>
        <v>21281.4</v>
      </c>
      <c r="Q59" s="7">
        <f>Q60</f>
        <v>0</v>
      </c>
      <c r="R59" s="36">
        <f t="shared" si="6"/>
        <v>21281.4</v>
      </c>
    </row>
    <row r="60" spans="1:18" ht="52.7" customHeight="1">
      <c r="A60" s="62" t="str">
        <f ca="1">IF(ISERROR(MATCH(E60,Код_КВР,0)),"",INDIRECT(ADDRESS(MATCH(E60,Код_КВР,0)+1,2,,,"КВР")))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0" s="44" t="s">
        <v>287</v>
      </c>
      <c r="C60" s="8" t="s">
        <v>203</v>
      </c>
      <c r="D60" s="1" t="s">
        <v>221</v>
      </c>
      <c r="E60" s="115">
        <v>621</v>
      </c>
      <c r="F60" s="7">
        <f>'прил.5'!G587</f>
        <v>21449.2</v>
      </c>
      <c r="G60" s="7">
        <f>'прил.5'!H587</f>
        <v>0</v>
      </c>
      <c r="H60" s="36">
        <f t="shared" si="1"/>
        <v>21449.2</v>
      </c>
      <c r="I60" s="7">
        <f>'прил.5'!J587</f>
        <v>0</v>
      </c>
      <c r="J60" s="36">
        <f t="shared" si="2"/>
        <v>21449.2</v>
      </c>
      <c r="K60" s="7">
        <f>'прил.5'!L587</f>
        <v>-167.8</v>
      </c>
      <c r="L60" s="36">
        <f t="shared" si="3"/>
        <v>21281.4</v>
      </c>
      <c r="M60" s="7">
        <f>'прил.5'!N587</f>
        <v>0</v>
      </c>
      <c r="N60" s="36">
        <f t="shared" si="4"/>
        <v>21281.4</v>
      </c>
      <c r="O60" s="7">
        <f>'прил.5'!P587</f>
        <v>0</v>
      </c>
      <c r="P60" s="36">
        <f t="shared" si="5"/>
        <v>21281.4</v>
      </c>
      <c r="Q60" s="7">
        <f>'прил.5'!R587</f>
        <v>0</v>
      </c>
      <c r="R60" s="36">
        <f t="shared" si="6"/>
        <v>21281.4</v>
      </c>
    </row>
    <row r="61" spans="1:18" ht="68.25" customHeight="1">
      <c r="A61" s="62" t="str">
        <f ca="1">IF(ISERROR(MATCH(B61,Код_КЦСР,0)),"",INDIRECT(ADDRESS(MATCH(B61,Код_КЦСР,0)+1,2,,,"КЦСР")))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61" s="44" t="s">
        <v>435</v>
      </c>
      <c r="C61" s="8"/>
      <c r="D61" s="1"/>
      <c r="E61" s="115"/>
      <c r="F61" s="7">
        <f aca="true" t="shared" si="12" ref="F61:Q63">F62</f>
        <v>1061249.7</v>
      </c>
      <c r="G61" s="7">
        <f t="shared" si="12"/>
        <v>0</v>
      </c>
      <c r="H61" s="36">
        <f t="shared" si="1"/>
        <v>1061249.7</v>
      </c>
      <c r="I61" s="7">
        <f t="shared" si="12"/>
        <v>0</v>
      </c>
      <c r="J61" s="36">
        <f t="shared" si="2"/>
        <v>1061249.7</v>
      </c>
      <c r="K61" s="7">
        <f t="shared" si="12"/>
        <v>0</v>
      </c>
      <c r="L61" s="36">
        <f t="shared" si="3"/>
        <v>1061249.7</v>
      </c>
      <c r="M61" s="7">
        <f t="shared" si="12"/>
        <v>0</v>
      </c>
      <c r="N61" s="36">
        <f t="shared" si="4"/>
        <v>1061249.7</v>
      </c>
      <c r="O61" s="7">
        <f t="shared" si="12"/>
        <v>0</v>
      </c>
      <c r="P61" s="36">
        <f t="shared" si="5"/>
        <v>1061249.7</v>
      </c>
      <c r="Q61" s="7">
        <f t="shared" si="12"/>
        <v>0</v>
      </c>
      <c r="R61" s="36">
        <f t="shared" si="6"/>
        <v>1061249.7</v>
      </c>
    </row>
    <row r="62" spans="1:18" ht="18.75" customHeight="1">
      <c r="A62" s="62" t="str">
        <f ca="1">IF(ISERROR(MATCH(C62,Код_Раздел,0)),"",INDIRECT(ADDRESS(MATCH(C62,Код_Раздел,0)+1,2,,,"Раздел")))</f>
        <v>Образование</v>
      </c>
      <c r="B62" s="44" t="s">
        <v>435</v>
      </c>
      <c r="C62" s="8" t="s">
        <v>203</v>
      </c>
      <c r="D62" s="1"/>
      <c r="E62" s="115"/>
      <c r="F62" s="7">
        <f t="shared" si="12"/>
        <v>1061249.7</v>
      </c>
      <c r="G62" s="7">
        <f t="shared" si="12"/>
        <v>0</v>
      </c>
      <c r="H62" s="36">
        <f t="shared" si="1"/>
        <v>1061249.7</v>
      </c>
      <c r="I62" s="7">
        <f t="shared" si="12"/>
        <v>0</v>
      </c>
      <c r="J62" s="36">
        <f t="shared" si="2"/>
        <v>1061249.7</v>
      </c>
      <c r="K62" s="7">
        <f t="shared" si="12"/>
        <v>0</v>
      </c>
      <c r="L62" s="36">
        <f t="shared" si="3"/>
        <v>1061249.7</v>
      </c>
      <c r="M62" s="7">
        <f t="shared" si="12"/>
        <v>0</v>
      </c>
      <c r="N62" s="36">
        <f t="shared" si="4"/>
        <v>1061249.7</v>
      </c>
      <c r="O62" s="7">
        <f t="shared" si="12"/>
        <v>0</v>
      </c>
      <c r="P62" s="36">
        <f t="shared" si="5"/>
        <v>1061249.7</v>
      </c>
      <c r="Q62" s="7">
        <f t="shared" si="12"/>
        <v>0</v>
      </c>
      <c r="R62" s="36">
        <f t="shared" si="6"/>
        <v>1061249.7</v>
      </c>
    </row>
    <row r="63" spans="1:18" ht="19.5" customHeight="1">
      <c r="A63" s="12" t="s">
        <v>266</v>
      </c>
      <c r="B63" s="44" t="s">
        <v>435</v>
      </c>
      <c r="C63" s="8" t="s">
        <v>203</v>
      </c>
      <c r="D63" s="1" t="s">
        <v>221</v>
      </c>
      <c r="E63" s="115"/>
      <c r="F63" s="7">
        <f t="shared" si="12"/>
        <v>1061249.7</v>
      </c>
      <c r="G63" s="7">
        <f t="shared" si="12"/>
        <v>0</v>
      </c>
      <c r="H63" s="36">
        <f t="shared" si="1"/>
        <v>1061249.7</v>
      </c>
      <c r="I63" s="7">
        <f t="shared" si="12"/>
        <v>0</v>
      </c>
      <c r="J63" s="36">
        <f t="shared" si="2"/>
        <v>1061249.7</v>
      </c>
      <c r="K63" s="7">
        <f t="shared" si="12"/>
        <v>0</v>
      </c>
      <c r="L63" s="36">
        <f t="shared" si="3"/>
        <v>1061249.7</v>
      </c>
      <c r="M63" s="7">
        <f t="shared" si="12"/>
        <v>0</v>
      </c>
      <c r="N63" s="36">
        <f t="shared" si="4"/>
        <v>1061249.7</v>
      </c>
      <c r="O63" s="7">
        <f t="shared" si="12"/>
        <v>0</v>
      </c>
      <c r="P63" s="36">
        <f t="shared" si="5"/>
        <v>1061249.7</v>
      </c>
      <c r="Q63" s="7">
        <f t="shared" si="12"/>
        <v>0</v>
      </c>
      <c r="R63" s="36">
        <f t="shared" si="6"/>
        <v>1061249.7</v>
      </c>
    </row>
    <row r="64" spans="1:18" ht="37.5" customHeight="1">
      <c r="A64" s="62" t="str">
        <f ca="1">IF(ISERROR(MATCH(E64,Код_КВР,0)),"",INDIRECT(ADDRESS(MATCH(E64,Код_КВР,0)+1,2,,,"КВР")))</f>
        <v>Предоставление субсидий бюджетным, автономным учреждениям и иным некоммерческим организациям</v>
      </c>
      <c r="B64" s="44" t="s">
        <v>435</v>
      </c>
      <c r="C64" s="8" t="s">
        <v>203</v>
      </c>
      <c r="D64" s="1" t="s">
        <v>221</v>
      </c>
      <c r="E64" s="115">
        <v>600</v>
      </c>
      <c r="F64" s="7">
        <f>F65+F67</f>
        <v>1061249.7</v>
      </c>
      <c r="G64" s="7">
        <f>G65+G67</f>
        <v>0</v>
      </c>
      <c r="H64" s="36">
        <f t="shared" si="1"/>
        <v>1061249.7</v>
      </c>
      <c r="I64" s="7">
        <f>I65+I67</f>
        <v>0</v>
      </c>
      <c r="J64" s="36">
        <f t="shared" si="2"/>
        <v>1061249.7</v>
      </c>
      <c r="K64" s="7">
        <f>K65+K67</f>
        <v>0</v>
      </c>
      <c r="L64" s="36">
        <f t="shared" si="3"/>
        <v>1061249.7</v>
      </c>
      <c r="M64" s="7">
        <f>M65+M67</f>
        <v>0</v>
      </c>
      <c r="N64" s="36">
        <f t="shared" si="4"/>
        <v>1061249.7</v>
      </c>
      <c r="O64" s="7">
        <f>O65+O67</f>
        <v>0</v>
      </c>
      <c r="P64" s="36">
        <f t="shared" si="5"/>
        <v>1061249.7</v>
      </c>
      <c r="Q64" s="7">
        <f>Q65+Q67</f>
        <v>0</v>
      </c>
      <c r="R64" s="36">
        <f t="shared" si="6"/>
        <v>1061249.7</v>
      </c>
    </row>
    <row r="65" spans="1:18" ht="19.5" customHeight="1">
      <c r="A65" s="62" t="str">
        <f ca="1">IF(ISERROR(MATCH(E65,Код_КВР,0)),"",INDIRECT(ADDRESS(MATCH(E65,Код_КВР,0)+1,2,,,"КВР")))</f>
        <v>Субсидии бюджетным учреждениям</v>
      </c>
      <c r="B65" s="44" t="s">
        <v>435</v>
      </c>
      <c r="C65" s="8" t="s">
        <v>203</v>
      </c>
      <c r="D65" s="1" t="s">
        <v>221</v>
      </c>
      <c r="E65" s="115">
        <v>610</v>
      </c>
      <c r="F65" s="7">
        <f>F66</f>
        <v>997794.8</v>
      </c>
      <c r="G65" s="7">
        <f>G66</f>
        <v>0</v>
      </c>
      <c r="H65" s="36">
        <f t="shared" si="1"/>
        <v>997794.8</v>
      </c>
      <c r="I65" s="7">
        <f>I66</f>
        <v>0</v>
      </c>
      <c r="J65" s="36">
        <f t="shared" si="2"/>
        <v>997794.8</v>
      </c>
      <c r="K65" s="7">
        <f>K66</f>
        <v>0</v>
      </c>
      <c r="L65" s="36">
        <f t="shared" si="3"/>
        <v>997794.8</v>
      </c>
      <c r="M65" s="7">
        <f>M66</f>
        <v>0</v>
      </c>
      <c r="N65" s="36">
        <f t="shared" si="4"/>
        <v>997794.8</v>
      </c>
      <c r="O65" s="7">
        <f>O66</f>
        <v>0</v>
      </c>
      <c r="P65" s="36">
        <f t="shared" si="5"/>
        <v>997794.8</v>
      </c>
      <c r="Q65" s="7">
        <f>Q66</f>
        <v>0</v>
      </c>
      <c r="R65" s="36">
        <f t="shared" si="6"/>
        <v>997794.8</v>
      </c>
    </row>
    <row r="66" spans="1:18" ht="55.5" customHeight="1">
      <c r="A66" s="62" t="str">
        <f ca="1">IF(ISERROR(MATCH(E66,Код_КВР,0)),"",INDIRECT(ADDRESS(MATCH(E66,Код_КВР,0)+1,2,,,"КВР")))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6" s="44" t="s">
        <v>435</v>
      </c>
      <c r="C66" s="8" t="s">
        <v>203</v>
      </c>
      <c r="D66" s="1" t="s">
        <v>221</v>
      </c>
      <c r="E66" s="115">
        <v>611</v>
      </c>
      <c r="F66" s="7">
        <f>'прил.5'!G591</f>
        <v>997794.8</v>
      </c>
      <c r="G66" s="7">
        <f>'прил.5'!H591</f>
        <v>0</v>
      </c>
      <c r="H66" s="36">
        <f t="shared" si="1"/>
        <v>997794.8</v>
      </c>
      <c r="I66" s="7">
        <f>'прил.5'!J591</f>
        <v>0</v>
      </c>
      <c r="J66" s="36">
        <f t="shared" si="2"/>
        <v>997794.8</v>
      </c>
      <c r="K66" s="7">
        <f>'прил.5'!L591</f>
        <v>0</v>
      </c>
      <c r="L66" s="36">
        <f t="shared" si="3"/>
        <v>997794.8</v>
      </c>
      <c r="M66" s="7">
        <f>'прил.5'!N591</f>
        <v>0</v>
      </c>
      <c r="N66" s="36">
        <f t="shared" si="4"/>
        <v>997794.8</v>
      </c>
      <c r="O66" s="7">
        <f>'прил.5'!P591</f>
        <v>0</v>
      </c>
      <c r="P66" s="36">
        <f t="shared" si="5"/>
        <v>997794.8</v>
      </c>
      <c r="Q66" s="7">
        <f>'прил.5'!R591</f>
        <v>0</v>
      </c>
      <c r="R66" s="36">
        <f t="shared" si="6"/>
        <v>997794.8</v>
      </c>
    </row>
    <row r="67" spans="1:18" ht="22.5" customHeight="1">
      <c r="A67" s="62" t="str">
        <f ca="1">IF(ISERROR(MATCH(E67,Код_КВР,0)),"",INDIRECT(ADDRESS(MATCH(E67,Код_КВР,0)+1,2,,,"КВР")))</f>
        <v>Субсидии автономным учреждениям</v>
      </c>
      <c r="B67" s="44" t="s">
        <v>435</v>
      </c>
      <c r="C67" s="8" t="s">
        <v>203</v>
      </c>
      <c r="D67" s="1" t="s">
        <v>221</v>
      </c>
      <c r="E67" s="115">
        <v>620</v>
      </c>
      <c r="F67" s="7">
        <f>F68</f>
        <v>63454.9</v>
      </c>
      <c r="G67" s="7">
        <f>G68</f>
        <v>0</v>
      </c>
      <c r="H67" s="36">
        <f t="shared" si="1"/>
        <v>63454.9</v>
      </c>
      <c r="I67" s="7">
        <f>I68</f>
        <v>0</v>
      </c>
      <c r="J67" s="36">
        <f t="shared" si="2"/>
        <v>63454.9</v>
      </c>
      <c r="K67" s="7">
        <f>K68</f>
        <v>0</v>
      </c>
      <c r="L67" s="36">
        <f t="shared" si="3"/>
        <v>63454.9</v>
      </c>
      <c r="M67" s="7">
        <f>M68</f>
        <v>0</v>
      </c>
      <c r="N67" s="36">
        <f t="shared" si="4"/>
        <v>63454.9</v>
      </c>
      <c r="O67" s="7">
        <f>O68</f>
        <v>0</v>
      </c>
      <c r="P67" s="36">
        <f t="shared" si="5"/>
        <v>63454.9</v>
      </c>
      <c r="Q67" s="7">
        <f>Q68</f>
        <v>0</v>
      </c>
      <c r="R67" s="36">
        <f t="shared" si="6"/>
        <v>63454.9</v>
      </c>
    </row>
    <row r="68" spans="1:18" ht="52.7" customHeight="1">
      <c r="A68" s="62" t="str">
        <f ca="1">IF(ISERROR(MATCH(E68,Код_КВР,0)),"",INDIRECT(ADDRESS(MATCH(E68,Код_КВР,0)+1,2,,,"КВР")))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8" s="44" t="s">
        <v>435</v>
      </c>
      <c r="C68" s="8" t="s">
        <v>203</v>
      </c>
      <c r="D68" s="1" t="s">
        <v>221</v>
      </c>
      <c r="E68" s="115">
        <v>621</v>
      </c>
      <c r="F68" s="7">
        <f>'прил.5'!G593</f>
        <v>63454.9</v>
      </c>
      <c r="G68" s="7">
        <f>'прил.5'!H593</f>
        <v>0</v>
      </c>
      <c r="H68" s="36">
        <f t="shared" si="1"/>
        <v>63454.9</v>
      </c>
      <c r="I68" s="7">
        <f>'прил.5'!J593</f>
        <v>0</v>
      </c>
      <c r="J68" s="36">
        <f t="shared" si="2"/>
        <v>63454.9</v>
      </c>
      <c r="K68" s="7">
        <f>'прил.5'!L593</f>
        <v>0</v>
      </c>
      <c r="L68" s="36">
        <f t="shared" si="3"/>
        <v>63454.9</v>
      </c>
      <c r="M68" s="7">
        <f>'прил.5'!N593</f>
        <v>0</v>
      </c>
      <c r="N68" s="36">
        <f t="shared" si="4"/>
        <v>63454.9</v>
      </c>
      <c r="O68" s="7">
        <f>'прил.5'!P593</f>
        <v>0</v>
      </c>
      <c r="P68" s="36">
        <f t="shared" si="5"/>
        <v>63454.9</v>
      </c>
      <c r="Q68" s="7">
        <f>'прил.5'!R593</f>
        <v>0</v>
      </c>
      <c r="R68" s="36">
        <f t="shared" si="6"/>
        <v>63454.9</v>
      </c>
    </row>
    <row r="69" spans="1:18" ht="69.75" customHeight="1">
      <c r="A69" s="62" t="str">
        <f ca="1">IF(ISERROR(MATCH(B69,Код_КЦСР,0)),"",INDIRECT(ADDRESS(MATCH(B69,Код_КЦСР,0)+1,2,,,"КЦСР")))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9" s="44" t="s">
        <v>437</v>
      </c>
      <c r="C69" s="8"/>
      <c r="D69" s="1"/>
      <c r="E69" s="115"/>
      <c r="F69" s="7">
        <f aca="true" t="shared" si="13" ref="F69:Q73">F70</f>
        <v>63969.3</v>
      </c>
      <c r="G69" s="7">
        <f t="shared" si="13"/>
        <v>0</v>
      </c>
      <c r="H69" s="36">
        <f t="shared" si="1"/>
        <v>63969.3</v>
      </c>
      <c r="I69" s="7">
        <f t="shared" si="13"/>
        <v>0</v>
      </c>
      <c r="J69" s="36">
        <f t="shared" si="2"/>
        <v>63969.3</v>
      </c>
      <c r="K69" s="7">
        <f t="shared" si="13"/>
        <v>0</v>
      </c>
      <c r="L69" s="36">
        <f t="shared" si="3"/>
        <v>63969.3</v>
      </c>
      <c r="M69" s="7">
        <f t="shared" si="13"/>
        <v>0</v>
      </c>
      <c r="N69" s="36">
        <f t="shared" si="4"/>
        <v>63969.3</v>
      </c>
      <c r="O69" s="7">
        <f t="shared" si="13"/>
        <v>0</v>
      </c>
      <c r="P69" s="36">
        <f t="shared" si="5"/>
        <v>63969.3</v>
      </c>
      <c r="Q69" s="7">
        <f t="shared" si="13"/>
        <v>0</v>
      </c>
      <c r="R69" s="36">
        <f t="shared" si="6"/>
        <v>63969.3</v>
      </c>
    </row>
    <row r="70" spans="1:18" ht="22.5" customHeight="1">
      <c r="A70" s="62" t="str">
        <f ca="1">IF(ISERROR(MATCH(C70,Код_Раздел,0)),"",INDIRECT(ADDRESS(MATCH(C70,Код_Раздел,0)+1,2,,,"Раздел")))</f>
        <v>Социальная политика</v>
      </c>
      <c r="B70" s="44" t="s">
        <v>437</v>
      </c>
      <c r="C70" s="8" t="s">
        <v>196</v>
      </c>
      <c r="D70" s="1"/>
      <c r="E70" s="115"/>
      <c r="F70" s="7">
        <f t="shared" si="13"/>
        <v>63969.3</v>
      </c>
      <c r="G70" s="7">
        <f t="shared" si="13"/>
        <v>0</v>
      </c>
      <c r="H70" s="36">
        <f t="shared" si="1"/>
        <v>63969.3</v>
      </c>
      <c r="I70" s="7">
        <f t="shared" si="13"/>
        <v>0</v>
      </c>
      <c r="J70" s="36">
        <f t="shared" si="2"/>
        <v>63969.3</v>
      </c>
      <c r="K70" s="7">
        <f t="shared" si="13"/>
        <v>0</v>
      </c>
      <c r="L70" s="36">
        <f t="shared" si="3"/>
        <v>63969.3</v>
      </c>
      <c r="M70" s="7">
        <f t="shared" si="13"/>
        <v>0</v>
      </c>
      <c r="N70" s="36">
        <f t="shared" si="4"/>
        <v>63969.3</v>
      </c>
      <c r="O70" s="7">
        <f t="shared" si="13"/>
        <v>0</v>
      </c>
      <c r="P70" s="36">
        <f t="shared" si="5"/>
        <v>63969.3</v>
      </c>
      <c r="Q70" s="7">
        <f t="shared" si="13"/>
        <v>0</v>
      </c>
      <c r="R70" s="36">
        <f t="shared" si="6"/>
        <v>63969.3</v>
      </c>
    </row>
    <row r="71" spans="1:18" ht="18.75" customHeight="1">
      <c r="A71" s="78" t="s">
        <v>212</v>
      </c>
      <c r="B71" s="44" t="s">
        <v>437</v>
      </c>
      <c r="C71" s="8" t="s">
        <v>196</v>
      </c>
      <c r="D71" s="1" t="s">
        <v>224</v>
      </c>
      <c r="E71" s="115"/>
      <c r="F71" s="7">
        <f t="shared" si="13"/>
        <v>63969.3</v>
      </c>
      <c r="G71" s="7">
        <f t="shared" si="13"/>
        <v>0</v>
      </c>
      <c r="H71" s="36">
        <f t="shared" si="1"/>
        <v>63969.3</v>
      </c>
      <c r="I71" s="7">
        <f t="shared" si="13"/>
        <v>0</v>
      </c>
      <c r="J71" s="36">
        <f t="shared" si="2"/>
        <v>63969.3</v>
      </c>
      <c r="K71" s="7">
        <f t="shared" si="13"/>
        <v>0</v>
      </c>
      <c r="L71" s="36">
        <f t="shared" si="3"/>
        <v>63969.3</v>
      </c>
      <c r="M71" s="7">
        <f t="shared" si="13"/>
        <v>0</v>
      </c>
      <c r="N71" s="36">
        <f t="shared" si="4"/>
        <v>63969.3</v>
      </c>
      <c r="O71" s="7">
        <f t="shared" si="13"/>
        <v>0</v>
      </c>
      <c r="P71" s="36">
        <f t="shared" si="5"/>
        <v>63969.3</v>
      </c>
      <c r="Q71" s="7">
        <f t="shared" si="13"/>
        <v>0</v>
      </c>
      <c r="R71" s="36">
        <f t="shared" si="6"/>
        <v>63969.3</v>
      </c>
    </row>
    <row r="72" spans="1:18" ht="22.5" customHeight="1">
      <c r="A72" s="62" t="str">
        <f ca="1">IF(ISERROR(MATCH(E72,Код_КВР,0)),"",INDIRECT(ADDRESS(MATCH(E72,Код_КВР,0)+1,2,,,"КВР")))</f>
        <v>Социальное обеспечение и иные выплаты населению</v>
      </c>
      <c r="B72" s="44" t="s">
        <v>437</v>
      </c>
      <c r="C72" s="8" t="s">
        <v>196</v>
      </c>
      <c r="D72" s="1" t="s">
        <v>224</v>
      </c>
      <c r="E72" s="115">
        <v>300</v>
      </c>
      <c r="F72" s="7">
        <f t="shared" si="13"/>
        <v>63969.3</v>
      </c>
      <c r="G72" s="7">
        <f t="shared" si="13"/>
        <v>0</v>
      </c>
      <c r="H72" s="36">
        <f t="shared" si="1"/>
        <v>63969.3</v>
      </c>
      <c r="I72" s="7">
        <f t="shared" si="13"/>
        <v>0</v>
      </c>
      <c r="J72" s="36">
        <f t="shared" si="2"/>
        <v>63969.3</v>
      </c>
      <c r="K72" s="7">
        <f t="shared" si="13"/>
        <v>0</v>
      </c>
      <c r="L72" s="36">
        <f t="shared" si="3"/>
        <v>63969.3</v>
      </c>
      <c r="M72" s="7">
        <f t="shared" si="13"/>
        <v>0</v>
      </c>
      <c r="N72" s="36">
        <f t="shared" si="4"/>
        <v>63969.3</v>
      </c>
      <c r="O72" s="7">
        <f t="shared" si="13"/>
        <v>0</v>
      </c>
      <c r="P72" s="36">
        <f t="shared" si="5"/>
        <v>63969.3</v>
      </c>
      <c r="Q72" s="7">
        <f t="shared" si="13"/>
        <v>0</v>
      </c>
      <c r="R72" s="36">
        <f t="shared" si="6"/>
        <v>63969.3</v>
      </c>
    </row>
    <row r="73" spans="1:18" ht="36.75" customHeight="1">
      <c r="A73" s="62" t="str">
        <f ca="1">IF(ISERROR(MATCH(E73,Код_КВР,0)),"",INDIRECT(ADDRESS(MATCH(E73,Код_КВР,0)+1,2,,,"КВР")))</f>
        <v>Социальные выплаты гражданам, кроме публичных нормативных социальных выплат</v>
      </c>
      <c r="B73" s="44" t="s">
        <v>437</v>
      </c>
      <c r="C73" s="8" t="s">
        <v>196</v>
      </c>
      <c r="D73" s="1" t="s">
        <v>224</v>
      </c>
      <c r="E73" s="115">
        <v>320</v>
      </c>
      <c r="F73" s="7">
        <f t="shared" si="13"/>
        <v>63969.3</v>
      </c>
      <c r="G73" s="7">
        <f t="shared" si="13"/>
        <v>0</v>
      </c>
      <c r="H73" s="36">
        <f t="shared" si="1"/>
        <v>63969.3</v>
      </c>
      <c r="I73" s="7">
        <f t="shared" si="13"/>
        <v>0</v>
      </c>
      <c r="J73" s="36">
        <f t="shared" si="2"/>
        <v>63969.3</v>
      </c>
      <c r="K73" s="7">
        <f t="shared" si="13"/>
        <v>0</v>
      </c>
      <c r="L73" s="36">
        <f t="shared" si="3"/>
        <v>63969.3</v>
      </c>
      <c r="M73" s="7">
        <f t="shared" si="13"/>
        <v>0</v>
      </c>
      <c r="N73" s="36">
        <f t="shared" si="4"/>
        <v>63969.3</v>
      </c>
      <c r="O73" s="7">
        <f t="shared" si="13"/>
        <v>0</v>
      </c>
      <c r="P73" s="36">
        <f t="shared" si="5"/>
        <v>63969.3</v>
      </c>
      <c r="Q73" s="7">
        <f t="shared" si="13"/>
        <v>0</v>
      </c>
      <c r="R73" s="36">
        <f t="shared" si="6"/>
        <v>63969.3</v>
      </c>
    </row>
    <row r="74" spans="1:18" ht="37.5" customHeight="1">
      <c r="A74" s="62" t="str">
        <f ca="1">IF(ISERROR(MATCH(E74,Код_КВР,0)),"",INDIRECT(ADDRESS(MATCH(E74,Код_КВР,0)+1,2,,,"КВР")))</f>
        <v>Пособия, компенсации и иные социальные выплаты гражданам, кроме публичных нормативных обязательств</v>
      </c>
      <c r="B74" s="44" t="s">
        <v>437</v>
      </c>
      <c r="C74" s="8" t="s">
        <v>196</v>
      </c>
      <c r="D74" s="1" t="s">
        <v>224</v>
      </c>
      <c r="E74" s="115">
        <v>321</v>
      </c>
      <c r="F74" s="7">
        <f>'прил.5'!G831</f>
        <v>63969.3</v>
      </c>
      <c r="G74" s="7">
        <f>'прил.5'!H831</f>
        <v>0</v>
      </c>
      <c r="H74" s="36">
        <f t="shared" si="1"/>
        <v>63969.3</v>
      </c>
      <c r="I74" s="7">
        <f>'прил.5'!J831</f>
        <v>0</v>
      </c>
      <c r="J74" s="36">
        <f t="shared" si="2"/>
        <v>63969.3</v>
      </c>
      <c r="K74" s="7">
        <f>'прил.5'!L831</f>
        <v>0</v>
      </c>
      <c r="L74" s="36">
        <f t="shared" si="3"/>
        <v>63969.3</v>
      </c>
      <c r="M74" s="7">
        <f>'прил.5'!N831</f>
        <v>0</v>
      </c>
      <c r="N74" s="36">
        <f t="shared" si="4"/>
        <v>63969.3</v>
      </c>
      <c r="O74" s="7">
        <f>'прил.5'!P831</f>
        <v>0</v>
      </c>
      <c r="P74" s="36">
        <f t="shared" si="5"/>
        <v>63969.3</v>
      </c>
      <c r="Q74" s="7">
        <f>'прил.5'!R831</f>
        <v>0</v>
      </c>
      <c r="R74" s="36">
        <f t="shared" si="6"/>
        <v>63969.3</v>
      </c>
    </row>
    <row r="75" spans="1:18" ht="20.25" customHeight="1">
      <c r="A75" s="62" t="str">
        <f ca="1">IF(ISERROR(MATCH(B75,Код_КЦСР,0)),"",INDIRECT(ADDRESS(MATCH(B75,Код_КЦСР,0)+1,2,,,"КЦСР")))</f>
        <v>Общее образование</v>
      </c>
      <c r="B75" s="44" t="s">
        <v>288</v>
      </c>
      <c r="C75" s="8"/>
      <c r="D75" s="1"/>
      <c r="E75" s="115"/>
      <c r="F75" s="7">
        <f>F76+F84+F90+F96+F106+F112</f>
        <v>1347878.2</v>
      </c>
      <c r="G75" s="7">
        <f>G76+G84+G90+G96+G106+G112</f>
        <v>0</v>
      </c>
      <c r="H75" s="36">
        <f t="shared" si="1"/>
        <v>1347878.2</v>
      </c>
      <c r="I75" s="7">
        <f>I76+I84+I90+I96+I106+I112</f>
        <v>0</v>
      </c>
      <c r="J75" s="36">
        <f t="shared" si="2"/>
        <v>1347878.2</v>
      </c>
      <c r="K75" s="7">
        <f>K76+K84+K90+K96+K106+K112</f>
        <v>0</v>
      </c>
      <c r="L75" s="36">
        <f t="shared" si="3"/>
        <v>1347878.2</v>
      </c>
      <c r="M75" s="7">
        <f>M76+M84+M90+M96+M106+M112</f>
        <v>-2877.3</v>
      </c>
      <c r="N75" s="36">
        <f t="shared" si="4"/>
        <v>1345000.9</v>
      </c>
      <c r="O75" s="7">
        <f>O76+O84+O90+O96+O106+O112</f>
        <v>10</v>
      </c>
      <c r="P75" s="36">
        <f t="shared" si="5"/>
        <v>1345010.9</v>
      </c>
      <c r="Q75" s="7">
        <f>Q76+Q84+Q90+Q96+Q106+Q112</f>
        <v>628.8</v>
      </c>
      <c r="R75" s="36">
        <f t="shared" si="6"/>
        <v>1345639.7</v>
      </c>
    </row>
    <row r="76" spans="1:18" ht="56.25" customHeight="1">
      <c r="A76" s="62" t="str">
        <f ca="1">IF(ISERROR(MATCH(B76,Код_КЦСР,0)),"",INDIRECT(ADDRESS(MATCH(B76,Код_КЦСР,0)+1,2,,,"КЦСР")))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6" s="44" t="s">
        <v>289</v>
      </c>
      <c r="C76" s="8"/>
      <c r="D76" s="1"/>
      <c r="E76" s="115"/>
      <c r="F76" s="7">
        <f aca="true" t="shared" si="14" ref="F76:Q78">F77</f>
        <v>159038.2</v>
      </c>
      <c r="G76" s="7">
        <f t="shared" si="14"/>
        <v>0</v>
      </c>
      <c r="H76" s="36">
        <f t="shared" si="1"/>
        <v>159038.2</v>
      </c>
      <c r="I76" s="7">
        <f t="shared" si="14"/>
        <v>0</v>
      </c>
      <c r="J76" s="36">
        <f t="shared" si="2"/>
        <v>159038.2</v>
      </c>
      <c r="K76" s="7">
        <f t="shared" si="14"/>
        <v>0</v>
      </c>
      <c r="L76" s="36">
        <f t="shared" si="3"/>
        <v>159038.2</v>
      </c>
      <c r="M76" s="7">
        <f t="shared" si="14"/>
        <v>-2877.3</v>
      </c>
      <c r="N76" s="36">
        <f t="shared" si="4"/>
        <v>156160.90000000002</v>
      </c>
      <c r="O76" s="7">
        <f t="shared" si="14"/>
        <v>0</v>
      </c>
      <c r="P76" s="36">
        <f t="shared" si="5"/>
        <v>156160.90000000002</v>
      </c>
      <c r="Q76" s="7">
        <f t="shared" si="14"/>
        <v>0</v>
      </c>
      <c r="R76" s="36">
        <f t="shared" si="6"/>
        <v>156160.90000000002</v>
      </c>
    </row>
    <row r="77" spans="1:18" ht="22.5" customHeight="1">
      <c r="A77" s="62" t="str">
        <f ca="1">IF(ISERROR(MATCH(C77,Код_Раздел,0)),"",INDIRECT(ADDRESS(MATCH(C77,Код_Раздел,0)+1,2,,,"Раздел")))</f>
        <v>Образование</v>
      </c>
      <c r="B77" s="44" t="s">
        <v>289</v>
      </c>
      <c r="C77" s="8" t="s">
        <v>203</v>
      </c>
      <c r="D77" s="1"/>
      <c r="E77" s="115"/>
      <c r="F77" s="7">
        <f t="shared" si="14"/>
        <v>159038.2</v>
      </c>
      <c r="G77" s="7">
        <f t="shared" si="14"/>
        <v>0</v>
      </c>
      <c r="H77" s="36">
        <f t="shared" si="1"/>
        <v>159038.2</v>
      </c>
      <c r="I77" s="7">
        <f t="shared" si="14"/>
        <v>0</v>
      </c>
      <c r="J77" s="36">
        <f t="shared" si="2"/>
        <v>159038.2</v>
      </c>
      <c r="K77" s="7">
        <f t="shared" si="14"/>
        <v>0</v>
      </c>
      <c r="L77" s="36">
        <f t="shared" si="3"/>
        <v>159038.2</v>
      </c>
      <c r="M77" s="7">
        <f t="shared" si="14"/>
        <v>-2877.3</v>
      </c>
      <c r="N77" s="36">
        <f t="shared" si="4"/>
        <v>156160.90000000002</v>
      </c>
      <c r="O77" s="7">
        <f t="shared" si="14"/>
        <v>0</v>
      </c>
      <c r="P77" s="36">
        <f t="shared" si="5"/>
        <v>156160.90000000002</v>
      </c>
      <c r="Q77" s="7">
        <f t="shared" si="14"/>
        <v>0</v>
      </c>
      <c r="R77" s="36">
        <f t="shared" si="6"/>
        <v>156160.90000000002</v>
      </c>
    </row>
    <row r="78" spans="1:18" ht="23.25" customHeight="1">
      <c r="A78" s="12" t="s">
        <v>258</v>
      </c>
      <c r="B78" s="44" t="s">
        <v>289</v>
      </c>
      <c r="C78" s="8" t="s">
        <v>203</v>
      </c>
      <c r="D78" s="1" t="s">
        <v>222</v>
      </c>
      <c r="E78" s="115"/>
      <c r="F78" s="7">
        <f t="shared" si="14"/>
        <v>159038.2</v>
      </c>
      <c r="G78" s="7">
        <f t="shared" si="14"/>
        <v>0</v>
      </c>
      <c r="H78" s="36">
        <f t="shared" si="1"/>
        <v>159038.2</v>
      </c>
      <c r="I78" s="7">
        <f t="shared" si="14"/>
        <v>0</v>
      </c>
      <c r="J78" s="36">
        <f t="shared" si="2"/>
        <v>159038.2</v>
      </c>
      <c r="K78" s="7">
        <f t="shared" si="14"/>
        <v>0</v>
      </c>
      <c r="L78" s="36">
        <f t="shared" si="3"/>
        <v>159038.2</v>
      </c>
      <c r="M78" s="7">
        <f t="shared" si="14"/>
        <v>-2877.3</v>
      </c>
      <c r="N78" s="36">
        <f t="shared" si="4"/>
        <v>156160.90000000002</v>
      </c>
      <c r="O78" s="7">
        <f t="shared" si="14"/>
        <v>0</v>
      </c>
      <c r="P78" s="36">
        <f t="shared" si="5"/>
        <v>156160.90000000002</v>
      </c>
      <c r="Q78" s="7">
        <f t="shared" si="14"/>
        <v>0</v>
      </c>
      <c r="R78" s="36">
        <f t="shared" si="6"/>
        <v>156160.90000000002</v>
      </c>
    </row>
    <row r="79" spans="1:18" ht="36.75" customHeight="1">
      <c r="A79" s="62" t="str">
        <f ca="1">IF(ISERROR(MATCH(E79,Код_КВР,0)),"",INDIRECT(ADDRESS(MATCH(E79,Код_КВР,0)+1,2,,,"КВР")))</f>
        <v>Предоставление субсидий бюджетным, автономным учреждениям и иным некоммерческим организациям</v>
      </c>
      <c r="B79" s="44" t="s">
        <v>289</v>
      </c>
      <c r="C79" s="8" t="s">
        <v>203</v>
      </c>
      <c r="D79" s="1" t="s">
        <v>222</v>
      </c>
      <c r="E79" s="115">
        <v>600</v>
      </c>
      <c r="F79" s="7">
        <f>F80+F82</f>
        <v>159038.2</v>
      </c>
      <c r="G79" s="7">
        <f>G80+G82</f>
        <v>0</v>
      </c>
      <c r="H79" s="36">
        <f t="shared" si="1"/>
        <v>159038.2</v>
      </c>
      <c r="I79" s="7">
        <f>I80+I82</f>
        <v>0</v>
      </c>
      <c r="J79" s="36">
        <f t="shared" si="2"/>
        <v>159038.2</v>
      </c>
      <c r="K79" s="7">
        <f>K80+K82</f>
        <v>0</v>
      </c>
      <c r="L79" s="36">
        <f t="shared" si="3"/>
        <v>159038.2</v>
      </c>
      <c r="M79" s="7">
        <f>M80+M82</f>
        <v>-2877.3</v>
      </c>
      <c r="N79" s="36">
        <f t="shared" si="4"/>
        <v>156160.90000000002</v>
      </c>
      <c r="O79" s="7">
        <f>O80+O82</f>
        <v>0</v>
      </c>
      <c r="P79" s="36">
        <f t="shared" si="5"/>
        <v>156160.90000000002</v>
      </c>
      <c r="Q79" s="7">
        <f>Q80+Q82</f>
        <v>0</v>
      </c>
      <c r="R79" s="36">
        <f t="shared" si="6"/>
        <v>156160.90000000002</v>
      </c>
    </row>
    <row r="80" spans="1:18" ht="23.25" customHeight="1">
      <c r="A80" s="62" t="str">
        <f ca="1">IF(ISERROR(MATCH(E80,Код_КВР,0)),"",INDIRECT(ADDRESS(MATCH(E80,Код_КВР,0)+1,2,,,"КВР")))</f>
        <v>Субсидии бюджетным учреждениям</v>
      </c>
      <c r="B80" s="44" t="s">
        <v>289</v>
      </c>
      <c r="C80" s="8" t="s">
        <v>203</v>
      </c>
      <c r="D80" s="1" t="s">
        <v>222</v>
      </c>
      <c r="E80" s="115">
        <v>610</v>
      </c>
      <c r="F80" s="7">
        <f>F81</f>
        <v>155778.5</v>
      </c>
      <c r="G80" s="7">
        <f>G81</f>
        <v>0</v>
      </c>
      <c r="H80" s="36">
        <f t="shared" si="1"/>
        <v>155778.5</v>
      </c>
      <c r="I80" s="7">
        <f>I81</f>
        <v>0</v>
      </c>
      <c r="J80" s="36">
        <f t="shared" si="2"/>
        <v>155778.5</v>
      </c>
      <c r="K80" s="7">
        <f>K81</f>
        <v>0</v>
      </c>
      <c r="L80" s="36">
        <f t="shared" si="3"/>
        <v>155778.5</v>
      </c>
      <c r="M80" s="7">
        <f>M81</f>
        <v>-2877.3</v>
      </c>
      <c r="N80" s="36">
        <f t="shared" si="4"/>
        <v>152901.2</v>
      </c>
      <c r="O80" s="7">
        <f>O81</f>
        <v>0</v>
      </c>
      <c r="P80" s="36">
        <f t="shared" si="5"/>
        <v>152901.2</v>
      </c>
      <c r="Q80" s="7">
        <f>Q81</f>
        <v>0</v>
      </c>
      <c r="R80" s="36">
        <f t="shared" si="6"/>
        <v>152901.2</v>
      </c>
    </row>
    <row r="81" spans="1:18" ht="54.75" customHeight="1">
      <c r="A81" s="62" t="str">
        <f ca="1">IF(ISERROR(MATCH(E81,Код_КВР,0)),"",INDIRECT(ADDRESS(MATCH(E81,Код_КВР,0)+1,2,,,"КВР")))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" s="44" t="s">
        <v>289</v>
      </c>
      <c r="C81" s="8" t="s">
        <v>203</v>
      </c>
      <c r="D81" s="1" t="s">
        <v>222</v>
      </c>
      <c r="E81" s="115">
        <v>611</v>
      </c>
      <c r="F81" s="7">
        <f>'прил.5'!G625</f>
        <v>155778.5</v>
      </c>
      <c r="G81" s="7">
        <f>'прил.5'!H625</f>
        <v>0</v>
      </c>
      <c r="H81" s="36">
        <f t="shared" si="1"/>
        <v>155778.5</v>
      </c>
      <c r="I81" s="7">
        <f>'прил.5'!J625</f>
        <v>0</v>
      </c>
      <c r="J81" s="36">
        <f t="shared" si="2"/>
        <v>155778.5</v>
      </c>
      <c r="K81" s="7">
        <f>'прил.5'!L625</f>
        <v>0</v>
      </c>
      <c r="L81" s="36">
        <f t="shared" si="3"/>
        <v>155778.5</v>
      </c>
      <c r="M81" s="7">
        <f>'прил.5'!N625</f>
        <v>-2877.3</v>
      </c>
      <c r="N81" s="36">
        <f t="shared" si="4"/>
        <v>152901.2</v>
      </c>
      <c r="O81" s="7">
        <f>'прил.5'!P625</f>
        <v>0</v>
      </c>
      <c r="P81" s="36">
        <f t="shared" si="5"/>
        <v>152901.2</v>
      </c>
      <c r="Q81" s="7">
        <f>'прил.5'!R625</f>
        <v>0</v>
      </c>
      <c r="R81" s="36">
        <f t="shared" si="6"/>
        <v>152901.2</v>
      </c>
    </row>
    <row r="82" spans="1:18" ht="18.75" customHeight="1">
      <c r="A82" s="62" t="str">
        <f ca="1">IF(ISERROR(MATCH(E82,Код_КВР,0)),"",INDIRECT(ADDRESS(MATCH(E82,Код_КВР,0)+1,2,,,"КВР")))</f>
        <v>Субсидии автономным учреждениям</v>
      </c>
      <c r="B82" s="44" t="s">
        <v>289</v>
      </c>
      <c r="C82" s="8" t="s">
        <v>203</v>
      </c>
      <c r="D82" s="1" t="s">
        <v>222</v>
      </c>
      <c r="E82" s="115">
        <v>620</v>
      </c>
      <c r="F82" s="7">
        <f>F83</f>
        <v>3259.7</v>
      </c>
      <c r="G82" s="7">
        <f>G83</f>
        <v>0</v>
      </c>
      <c r="H82" s="36">
        <f t="shared" si="1"/>
        <v>3259.7</v>
      </c>
      <c r="I82" s="7">
        <f>I83</f>
        <v>0</v>
      </c>
      <c r="J82" s="36">
        <f t="shared" si="2"/>
        <v>3259.7</v>
      </c>
      <c r="K82" s="7">
        <f>K83</f>
        <v>0</v>
      </c>
      <c r="L82" s="36">
        <f t="shared" si="3"/>
        <v>3259.7</v>
      </c>
      <c r="M82" s="7">
        <f>M83</f>
        <v>0</v>
      </c>
      <c r="N82" s="36">
        <f t="shared" si="4"/>
        <v>3259.7</v>
      </c>
      <c r="O82" s="7">
        <f>O83</f>
        <v>0</v>
      </c>
      <c r="P82" s="36">
        <f t="shared" si="5"/>
        <v>3259.7</v>
      </c>
      <c r="Q82" s="7">
        <f>Q83</f>
        <v>0</v>
      </c>
      <c r="R82" s="36">
        <f t="shared" si="6"/>
        <v>3259.7</v>
      </c>
    </row>
    <row r="83" spans="1:18" ht="56.25" customHeight="1">
      <c r="A83" s="62" t="str">
        <f ca="1">IF(ISERROR(MATCH(E83,Код_КВР,0)),"",INDIRECT(ADDRESS(MATCH(E83,Код_КВР,0)+1,2,,,"КВР")))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3" s="44" t="s">
        <v>289</v>
      </c>
      <c r="C83" s="8" t="s">
        <v>203</v>
      </c>
      <c r="D83" s="1" t="s">
        <v>222</v>
      </c>
      <c r="E83" s="115">
        <v>621</v>
      </c>
      <c r="F83" s="7">
        <f>'прил.5'!G627</f>
        <v>3259.7</v>
      </c>
      <c r="G83" s="7">
        <f>'прил.5'!H627</f>
        <v>0</v>
      </c>
      <c r="H83" s="36">
        <f t="shared" si="1"/>
        <v>3259.7</v>
      </c>
      <c r="I83" s="7">
        <f>'прил.5'!J627</f>
        <v>0</v>
      </c>
      <c r="J83" s="36">
        <f t="shared" si="2"/>
        <v>3259.7</v>
      </c>
      <c r="K83" s="7">
        <f>'прил.5'!L627</f>
        <v>0</v>
      </c>
      <c r="L83" s="36">
        <f t="shared" si="3"/>
        <v>3259.7</v>
      </c>
      <c r="M83" s="7">
        <f>'прил.5'!N627</f>
        <v>0</v>
      </c>
      <c r="N83" s="36">
        <f t="shared" si="4"/>
        <v>3259.7</v>
      </c>
      <c r="O83" s="7">
        <f>'прил.5'!P627</f>
        <v>0</v>
      </c>
      <c r="P83" s="36">
        <f aca="true" t="shared" si="15" ref="P83:P154">N83+O83</f>
        <v>3259.7</v>
      </c>
      <c r="Q83" s="7">
        <f>'прил.5'!R627</f>
        <v>0</v>
      </c>
      <c r="R83" s="36">
        <f aca="true" t="shared" si="16" ref="R83:R154">P83+Q83</f>
        <v>3259.7</v>
      </c>
    </row>
    <row r="84" spans="1:18" ht="87.75" customHeight="1">
      <c r="A84" s="62" t="str">
        <f ca="1">IF(ISERROR(MATCH(B84,Код_КЦСР,0)),"",INDIRECT(ADDRESS(MATCH(B84,Код_КЦСР,0)+1,2,,,"КЦСР")))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84" s="44" t="s">
        <v>290</v>
      </c>
      <c r="C84" s="8"/>
      <c r="D84" s="1"/>
      <c r="E84" s="115"/>
      <c r="F84" s="7">
        <f aca="true" t="shared" si="17" ref="F84:Q88">F85</f>
        <v>8367.7</v>
      </c>
      <c r="G84" s="7">
        <f t="shared" si="17"/>
        <v>0</v>
      </c>
      <c r="H84" s="36">
        <f t="shared" si="1"/>
        <v>8367.7</v>
      </c>
      <c r="I84" s="7">
        <f t="shared" si="17"/>
        <v>0</v>
      </c>
      <c r="J84" s="36">
        <f t="shared" si="2"/>
        <v>8367.7</v>
      </c>
      <c r="K84" s="7">
        <f t="shared" si="17"/>
        <v>0</v>
      </c>
      <c r="L84" s="36">
        <f t="shared" si="3"/>
        <v>8367.7</v>
      </c>
      <c r="M84" s="7">
        <f t="shared" si="17"/>
        <v>0</v>
      </c>
      <c r="N84" s="36">
        <f t="shared" si="4"/>
        <v>8367.7</v>
      </c>
      <c r="O84" s="7">
        <f t="shared" si="17"/>
        <v>0</v>
      </c>
      <c r="P84" s="36">
        <f t="shared" si="15"/>
        <v>8367.7</v>
      </c>
      <c r="Q84" s="7">
        <f t="shared" si="17"/>
        <v>0</v>
      </c>
      <c r="R84" s="36">
        <f t="shared" si="16"/>
        <v>8367.7</v>
      </c>
    </row>
    <row r="85" spans="1:18" ht="21" customHeight="1">
      <c r="A85" s="62" t="str">
        <f ca="1">IF(ISERROR(MATCH(C85,Код_Раздел,0)),"",INDIRECT(ADDRESS(MATCH(C85,Код_Раздел,0)+1,2,,,"Раздел")))</f>
        <v>Образование</v>
      </c>
      <c r="B85" s="44" t="s">
        <v>290</v>
      </c>
      <c r="C85" s="8" t="s">
        <v>203</v>
      </c>
      <c r="D85" s="1"/>
      <c r="E85" s="115"/>
      <c r="F85" s="7">
        <f t="shared" si="17"/>
        <v>8367.7</v>
      </c>
      <c r="G85" s="7">
        <f t="shared" si="17"/>
        <v>0</v>
      </c>
      <c r="H85" s="36">
        <f t="shared" si="1"/>
        <v>8367.7</v>
      </c>
      <c r="I85" s="7">
        <f t="shared" si="17"/>
        <v>0</v>
      </c>
      <c r="J85" s="36">
        <f t="shared" si="2"/>
        <v>8367.7</v>
      </c>
      <c r="K85" s="7">
        <f t="shared" si="17"/>
        <v>0</v>
      </c>
      <c r="L85" s="36">
        <f t="shared" si="3"/>
        <v>8367.7</v>
      </c>
      <c r="M85" s="7">
        <f t="shared" si="17"/>
        <v>0</v>
      </c>
      <c r="N85" s="36">
        <f t="shared" si="4"/>
        <v>8367.7</v>
      </c>
      <c r="O85" s="7">
        <f t="shared" si="17"/>
        <v>0</v>
      </c>
      <c r="P85" s="36">
        <f t="shared" si="15"/>
        <v>8367.7</v>
      </c>
      <c r="Q85" s="7">
        <f t="shared" si="17"/>
        <v>0</v>
      </c>
      <c r="R85" s="36">
        <f t="shared" si="16"/>
        <v>8367.7</v>
      </c>
    </row>
    <row r="86" spans="1:18" ht="20.25" customHeight="1">
      <c r="A86" s="12" t="s">
        <v>258</v>
      </c>
      <c r="B86" s="44" t="s">
        <v>290</v>
      </c>
      <c r="C86" s="8" t="s">
        <v>203</v>
      </c>
      <c r="D86" s="1" t="s">
        <v>222</v>
      </c>
      <c r="E86" s="115"/>
      <c r="F86" s="7">
        <f t="shared" si="17"/>
        <v>8367.7</v>
      </c>
      <c r="G86" s="7">
        <f t="shared" si="17"/>
        <v>0</v>
      </c>
      <c r="H86" s="36">
        <f t="shared" si="1"/>
        <v>8367.7</v>
      </c>
      <c r="I86" s="7">
        <f t="shared" si="17"/>
        <v>0</v>
      </c>
      <c r="J86" s="36">
        <f t="shared" si="2"/>
        <v>8367.7</v>
      </c>
      <c r="K86" s="7">
        <f t="shared" si="17"/>
        <v>0</v>
      </c>
      <c r="L86" s="36">
        <f t="shared" si="3"/>
        <v>8367.7</v>
      </c>
      <c r="M86" s="7">
        <f t="shared" si="17"/>
        <v>0</v>
      </c>
      <c r="N86" s="36">
        <f t="shared" si="4"/>
        <v>8367.7</v>
      </c>
      <c r="O86" s="7">
        <f t="shared" si="17"/>
        <v>0</v>
      </c>
      <c r="P86" s="36">
        <f t="shared" si="15"/>
        <v>8367.7</v>
      </c>
      <c r="Q86" s="7">
        <f t="shared" si="17"/>
        <v>0</v>
      </c>
      <c r="R86" s="36">
        <f t="shared" si="16"/>
        <v>8367.7</v>
      </c>
    </row>
    <row r="87" spans="1:18" ht="36" customHeight="1">
      <c r="A87" s="62" t="str">
        <f ca="1">IF(ISERROR(MATCH(E87,Код_КВР,0)),"",INDIRECT(ADDRESS(MATCH(E87,Код_КВР,0)+1,2,,,"КВР")))</f>
        <v>Предоставление субсидий бюджетным, автономным учреждениям и иным некоммерческим организациям</v>
      </c>
      <c r="B87" s="44" t="s">
        <v>290</v>
      </c>
      <c r="C87" s="8" t="s">
        <v>203</v>
      </c>
      <c r="D87" s="1" t="s">
        <v>222</v>
      </c>
      <c r="E87" s="115">
        <v>600</v>
      </c>
      <c r="F87" s="7">
        <f t="shared" si="17"/>
        <v>8367.7</v>
      </c>
      <c r="G87" s="7">
        <f t="shared" si="17"/>
        <v>0</v>
      </c>
      <c r="H87" s="36">
        <f t="shared" si="1"/>
        <v>8367.7</v>
      </c>
      <c r="I87" s="7">
        <f t="shared" si="17"/>
        <v>0</v>
      </c>
      <c r="J87" s="36">
        <f t="shared" si="2"/>
        <v>8367.7</v>
      </c>
      <c r="K87" s="7">
        <f t="shared" si="17"/>
        <v>0</v>
      </c>
      <c r="L87" s="36">
        <f t="shared" si="3"/>
        <v>8367.7</v>
      </c>
      <c r="M87" s="7">
        <f t="shared" si="17"/>
        <v>0</v>
      </c>
      <c r="N87" s="36">
        <f t="shared" si="4"/>
        <v>8367.7</v>
      </c>
      <c r="O87" s="7">
        <f t="shared" si="17"/>
        <v>0</v>
      </c>
      <c r="P87" s="36">
        <f t="shared" si="15"/>
        <v>8367.7</v>
      </c>
      <c r="Q87" s="7">
        <f t="shared" si="17"/>
        <v>0</v>
      </c>
      <c r="R87" s="36">
        <f t="shared" si="16"/>
        <v>8367.7</v>
      </c>
    </row>
    <row r="88" spans="1:18" ht="19.5" customHeight="1">
      <c r="A88" s="62" t="str">
        <f ca="1">IF(ISERROR(MATCH(E88,Код_КВР,0)),"",INDIRECT(ADDRESS(MATCH(E88,Код_КВР,0)+1,2,,,"КВР")))</f>
        <v>Субсидии бюджетным учреждениям</v>
      </c>
      <c r="B88" s="44" t="s">
        <v>290</v>
      </c>
      <c r="C88" s="8" t="s">
        <v>203</v>
      </c>
      <c r="D88" s="1" t="s">
        <v>222</v>
      </c>
      <c r="E88" s="115">
        <v>610</v>
      </c>
      <c r="F88" s="7">
        <f t="shared" si="17"/>
        <v>8367.7</v>
      </c>
      <c r="G88" s="7">
        <f t="shared" si="17"/>
        <v>0</v>
      </c>
      <c r="H88" s="36">
        <f t="shared" si="1"/>
        <v>8367.7</v>
      </c>
      <c r="I88" s="7">
        <f t="shared" si="17"/>
        <v>0</v>
      </c>
      <c r="J88" s="36">
        <f t="shared" si="2"/>
        <v>8367.7</v>
      </c>
      <c r="K88" s="7">
        <f t="shared" si="17"/>
        <v>0</v>
      </c>
      <c r="L88" s="36">
        <f aca="true" t="shared" si="18" ref="L88:L159">J88+K88</f>
        <v>8367.7</v>
      </c>
      <c r="M88" s="7">
        <f t="shared" si="17"/>
        <v>0</v>
      </c>
      <c r="N88" s="36">
        <f aca="true" t="shared" si="19" ref="N88:N159">L88+M88</f>
        <v>8367.7</v>
      </c>
      <c r="O88" s="7">
        <f t="shared" si="17"/>
        <v>0</v>
      </c>
      <c r="P88" s="36">
        <f t="shared" si="15"/>
        <v>8367.7</v>
      </c>
      <c r="Q88" s="7">
        <f t="shared" si="17"/>
        <v>0</v>
      </c>
      <c r="R88" s="36">
        <f t="shared" si="16"/>
        <v>8367.7</v>
      </c>
    </row>
    <row r="89" spans="1:18" ht="51.75" customHeight="1">
      <c r="A89" s="62" t="str">
        <f ca="1">IF(ISERROR(MATCH(E89,Код_КВР,0)),"",INDIRECT(ADDRESS(MATCH(E89,Код_КВР,0)+1,2,,,"КВР")))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" s="44" t="s">
        <v>290</v>
      </c>
      <c r="C89" s="8" t="s">
        <v>203</v>
      </c>
      <c r="D89" s="1" t="s">
        <v>222</v>
      </c>
      <c r="E89" s="115">
        <v>611</v>
      </c>
      <c r="F89" s="7">
        <f>'прил.5'!G631</f>
        <v>8367.7</v>
      </c>
      <c r="G89" s="7">
        <f>'прил.5'!H631</f>
        <v>0</v>
      </c>
      <c r="H89" s="36">
        <f t="shared" si="1"/>
        <v>8367.7</v>
      </c>
      <c r="I89" s="7">
        <f>'прил.5'!J631</f>
        <v>0</v>
      </c>
      <c r="J89" s="36">
        <f t="shared" si="2"/>
        <v>8367.7</v>
      </c>
      <c r="K89" s="7">
        <f>'прил.5'!L631</f>
        <v>0</v>
      </c>
      <c r="L89" s="36">
        <f t="shared" si="18"/>
        <v>8367.7</v>
      </c>
      <c r="M89" s="7">
        <f>'прил.5'!N631</f>
        <v>0</v>
      </c>
      <c r="N89" s="36">
        <f t="shared" si="19"/>
        <v>8367.7</v>
      </c>
      <c r="O89" s="7">
        <f>'прил.5'!P631</f>
        <v>0</v>
      </c>
      <c r="P89" s="36">
        <f t="shared" si="15"/>
        <v>8367.7</v>
      </c>
      <c r="Q89" s="7">
        <f>'прил.5'!R631</f>
        <v>0</v>
      </c>
      <c r="R89" s="36">
        <f t="shared" si="16"/>
        <v>8367.7</v>
      </c>
    </row>
    <row r="90" spans="1:18" ht="35.25" customHeight="1">
      <c r="A90" s="62" t="str">
        <f ca="1">IF(ISERROR(MATCH(B90,Код_КЦСР,0)),"",INDIRECT(ADDRESS(MATCH(B90,Код_КЦСР,0)+1,2,,,"КЦСР")))</f>
        <v>Формирование комплексной системы выявления, развития и поддержки одаренных детей и молодых талантов</v>
      </c>
      <c r="B90" s="44" t="s">
        <v>291</v>
      </c>
      <c r="C90" s="8"/>
      <c r="D90" s="1"/>
      <c r="E90" s="115"/>
      <c r="F90" s="7">
        <f aca="true" t="shared" si="20" ref="F90:Q92">F91</f>
        <v>458</v>
      </c>
      <c r="G90" s="7">
        <f t="shared" si="20"/>
        <v>0</v>
      </c>
      <c r="H90" s="36">
        <f t="shared" si="1"/>
        <v>458</v>
      </c>
      <c r="I90" s="7">
        <f t="shared" si="20"/>
        <v>0</v>
      </c>
      <c r="J90" s="36">
        <f aca="true" t="shared" si="21" ref="J90:J161">H90+I90</f>
        <v>458</v>
      </c>
      <c r="K90" s="7">
        <f t="shared" si="20"/>
        <v>0</v>
      </c>
      <c r="L90" s="36">
        <f t="shared" si="18"/>
        <v>458</v>
      </c>
      <c r="M90" s="7">
        <f t="shared" si="20"/>
        <v>0</v>
      </c>
      <c r="N90" s="36">
        <f t="shared" si="19"/>
        <v>458</v>
      </c>
      <c r="O90" s="7">
        <f t="shared" si="20"/>
        <v>10</v>
      </c>
      <c r="P90" s="36">
        <f t="shared" si="15"/>
        <v>468</v>
      </c>
      <c r="Q90" s="7">
        <f t="shared" si="20"/>
        <v>0</v>
      </c>
      <c r="R90" s="36">
        <f t="shared" si="16"/>
        <v>468</v>
      </c>
    </row>
    <row r="91" spans="1:18" ht="18.75" customHeight="1">
      <c r="A91" s="62" t="str">
        <f ca="1">IF(ISERROR(MATCH(C91,Код_Раздел,0)),"",INDIRECT(ADDRESS(MATCH(C91,Код_Раздел,0)+1,2,,,"Раздел")))</f>
        <v>Образование</v>
      </c>
      <c r="B91" s="44" t="s">
        <v>291</v>
      </c>
      <c r="C91" s="8" t="s">
        <v>203</v>
      </c>
      <c r="D91" s="1"/>
      <c r="E91" s="115"/>
      <c r="F91" s="7">
        <f t="shared" si="20"/>
        <v>458</v>
      </c>
      <c r="G91" s="7">
        <f t="shared" si="20"/>
        <v>0</v>
      </c>
      <c r="H91" s="36">
        <f t="shared" si="1"/>
        <v>458</v>
      </c>
      <c r="I91" s="7">
        <f t="shared" si="20"/>
        <v>0</v>
      </c>
      <c r="J91" s="36">
        <f t="shared" si="21"/>
        <v>458</v>
      </c>
      <c r="K91" s="7">
        <f t="shared" si="20"/>
        <v>0</v>
      </c>
      <c r="L91" s="36">
        <f t="shared" si="18"/>
        <v>458</v>
      </c>
      <c r="M91" s="7">
        <f t="shared" si="20"/>
        <v>0</v>
      </c>
      <c r="N91" s="36">
        <f t="shared" si="19"/>
        <v>458</v>
      </c>
      <c r="O91" s="7">
        <f t="shared" si="20"/>
        <v>10</v>
      </c>
      <c r="P91" s="36">
        <f t="shared" si="15"/>
        <v>468</v>
      </c>
      <c r="Q91" s="7">
        <f t="shared" si="20"/>
        <v>0</v>
      </c>
      <c r="R91" s="36">
        <f t="shared" si="16"/>
        <v>468</v>
      </c>
    </row>
    <row r="92" spans="1:18" ht="12.75">
      <c r="A92" s="12" t="s">
        <v>258</v>
      </c>
      <c r="B92" s="44" t="s">
        <v>291</v>
      </c>
      <c r="C92" s="8" t="s">
        <v>203</v>
      </c>
      <c r="D92" s="1" t="s">
        <v>222</v>
      </c>
      <c r="E92" s="115"/>
      <c r="F92" s="7">
        <f t="shared" si="20"/>
        <v>458</v>
      </c>
      <c r="G92" s="7">
        <f t="shared" si="20"/>
        <v>0</v>
      </c>
      <c r="H92" s="36">
        <f aca="true" t="shared" si="22" ref="H92:H169">F92+G92</f>
        <v>458</v>
      </c>
      <c r="I92" s="7">
        <f t="shared" si="20"/>
        <v>0</v>
      </c>
      <c r="J92" s="36">
        <f t="shared" si="21"/>
        <v>458</v>
      </c>
      <c r="K92" s="7">
        <f t="shared" si="20"/>
        <v>0</v>
      </c>
      <c r="L92" s="36">
        <f t="shared" si="18"/>
        <v>458</v>
      </c>
      <c r="M92" s="7">
        <f t="shared" si="20"/>
        <v>0</v>
      </c>
      <c r="N92" s="36">
        <f t="shared" si="19"/>
        <v>458</v>
      </c>
      <c r="O92" s="7">
        <f t="shared" si="20"/>
        <v>10</v>
      </c>
      <c r="P92" s="36">
        <f t="shared" si="15"/>
        <v>468</v>
      </c>
      <c r="Q92" s="7">
        <f t="shared" si="20"/>
        <v>0</v>
      </c>
      <c r="R92" s="36">
        <f t="shared" si="16"/>
        <v>468</v>
      </c>
    </row>
    <row r="93" spans="1:18" ht="12.75">
      <c r="A93" s="62" t="str">
        <f ca="1">IF(ISERROR(MATCH(E93,Код_КВР,0)),"",INDIRECT(ADDRESS(MATCH(E93,Код_КВР,0)+1,2,,,"КВР")))</f>
        <v>Социальное обеспечение и иные выплаты населению</v>
      </c>
      <c r="B93" s="44" t="s">
        <v>291</v>
      </c>
      <c r="C93" s="8" t="s">
        <v>203</v>
      </c>
      <c r="D93" s="1" t="s">
        <v>222</v>
      </c>
      <c r="E93" s="115">
        <v>300</v>
      </c>
      <c r="F93" s="7">
        <f>SUM(F94:F95)</f>
        <v>458</v>
      </c>
      <c r="G93" s="7">
        <f>SUM(G94:G95)</f>
        <v>0</v>
      </c>
      <c r="H93" s="36">
        <f t="shared" si="22"/>
        <v>458</v>
      </c>
      <c r="I93" s="7">
        <f>SUM(I94:I95)</f>
        <v>0</v>
      </c>
      <c r="J93" s="36">
        <f t="shared" si="21"/>
        <v>458</v>
      </c>
      <c r="K93" s="7">
        <f>SUM(K94:K95)</f>
        <v>0</v>
      </c>
      <c r="L93" s="36">
        <f t="shared" si="18"/>
        <v>458</v>
      </c>
      <c r="M93" s="7">
        <f>SUM(M94:M95)</f>
        <v>0</v>
      </c>
      <c r="N93" s="36">
        <f t="shared" si="19"/>
        <v>458</v>
      </c>
      <c r="O93" s="7">
        <f>SUM(O94:O95)</f>
        <v>10</v>
      </c>
      <c r="P93" s="36">
        <f t="shared" si="15"/>
        <v>468</v>
      </c>
      <c r="Q93" s="7">
        <f>SUM(Q94:Q95)</f>
        <v>0</v>
      </c>
      <c r="R93" s="36">
        <f t="shared" si="16"/>
        <v>468</v>
      </c>
    </row>
    <row r="94" spans="1:18" ht="12.75">
      <c r="A94" s="62" t="str">
        <f ca="1">IF(ISERROR(MATCH(E94,Код_КВР,0)),"",INDIRECT(ADDRESS(MATCH(E94,Код_КВР,0)+1,2,,,"КВР")))</f>
        <v>Стипендии</v>
      </c>
      <c r="B94" s="44" t="s">
        <v>291</v>
      </c>
      <c r="C94" s="8" t="s">
        <v>203</v>
      </c>
      <c r="D94" s="1" t="s">
        <v>222</v>
      </c>
      <c r="E94" s="115">
        <v>340</v>
      </c>
      <c r="F94" s="7">
        <f>'прил.5'!G634</f>
        <v>200</v>
      </c>
      <c r="G94" s="7">
        <f>'прил.5'!H634</f>
        <v>0</v>
      </c>
      <c r="H94" s="36">
        <f t="shared" si="22"/>
        <v>200</v>
      </c>
      <c r="I94" s="7">
        <f>'прил.5'!J634</f>
        <v>0</v>
      </c>
      <c r="J94" s="36">
        <f t="shared" si="21"/>
        <v>200</v>
      </c>
      <c r="K94" s="7">
        <f>'прил.5'!L634</f>
        <v>0</v>
      </c>
      <c r="L94" s="36">
        <f t="shared" si="18"/>
        <v>200</v>
      </c>
      <c r="M94" s="7">
        <f>'прил.5'!N634</f>
        <v>0</v>
      </c>
      <c r="N94" s="36">
        <f t="shared" si="19"/>
        <v>200</v>
      </c>
      <c r="O94" s="7">
        <f>'прил.5'!P634</f>
        <v>0</v>
      </c>
      <c r="P94" s="36">
        <f t="shared" si="15"/>
        <v>200</v>
      </c>
      <c r="Q94" s="7">
        <f>'прил.5'!R634</f>
        <v>0</v>
      </c>
      <c r="R94" s="36">
        <f t="shared" si="16"/>
        <v>200</v>
      </c>
    </row>
    <row r="95" spans="1:18" ht="12.75">
      <c r="A95" s="62" t="str">
        <f ca="1">IF(ISERROR(MATCH(E95,Код_КВР,0)),"",INDIRECT(ADDRESS(MATCH(E95,Код_КВР,0)+1,2,,,"КВР")))</f>
        <v>Премии и гранты</v>
      </c>
      <c r="B95" s="44" t="s">
        <v>291</v>
      </c>
      <c r="C95" s="8" t="s">
        <v>203</v>
      </c>
      <c r="D95" s="1" t="s">
        <v>222</v>
      </c>
      <c r="E95" s="115">
        <v>350</v>
      </c>
      <c r="F95" s="7">
        <f>'прил.5'!G635</f>
        <v>258</v>
      </c>
      <c r="G95" s="7">
        <f>'прил.5'!H635</f>
        <v>0</v>
      </c>
      <c r="H95" s="36">
        <f t="shared" si="22"/>
        <v>258</v>
      </c>
      <c r="I95" s="7">
        <f>'прил.5'!J635</f>
        <v>0</v>
      </c>
      <c r="J95" s="36">
        <f t="shared" si="21"/>
        <v>258</v>
      </c>
      <c r="K95" s="7">
        <f>'прил.5'!L635</f>
        <v>0</v>
      </c>
      <c r="L95" s="36">
        <f t="shared" si="18"/>
        <v>258</v>
      </c>
      <c r="M95" s="7">
        <f>'прил.5'!N635</f>
        <v>0</v>
      </c>
      <c r="N95" s="36">
        <f t="shared" si="19"/>
        <v>258</v>
      </c>
      <c r="O95" s="7">
        <f>'прил.5'!P635</f>
        <v>10</v>
      </c>
      <c r="P95" s="36">
        <f t="shared" si="15"/>
        <v>268</v>
      </c>
      <c r="Q95" s="7">
        <f>'прил.5'!R635</f>
        <v>0</v>
      </c>
      <c r="R95" s="36">
        <f t="shared" si="16"/>
        <v>268</v>
      </c>
    </row>
    <row r="96" spans="1:18" ht="69" customHeight="1">
      <c r="A96" s="62" t="str">
        <f ca="1">IF(ISERROR(MATCH(B96,Код_КЦСР,0)),"",INDIRECT(ADDRESS(MATCH(B96,Код_КЦСР,0)+1,2,,,"КЦСР")))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6" s="44" t="s">
        <v>446</v>
      </c>
      <c r="C96" s="8"/>
      <c r="D96" s="1"/>
      <c r="E96" s="115"/>
      <c r="F96" s="7">
        <f aca="true" t="shared" si="23" ref="F96:Q98">F97</f>
        <v>1155626.6</v>
      </c>
      <c r="G96" s="7">
        <f t="shared" si="23"/>
        <v>0</v>
      </c>
      <c r="H96" s="36">
        <f t="shared" si="22"/>
        <v>1155626.6</v>
      </c>
      <c r="I96" s="7">
        <f t="shared" si="23"/>
        <v>0</v>
      </c>
      <c r="J96" s="36">
        <f t="shared" si="21"/>
        <v>1155626.6</v>
      </c>
      <c r="K96" s="7">
        <f t="shared" si="23"/>
        <v>0</v>
      </c>
      <c r="L96" s="36">
        <f t="shared" si="18"/>
        <v>1155626.6</v>
      </c>
      <c r="M96" s="7">
        <f t="shared" si="23"/>
        <v>0</v>
      </c>
      <c r="N96" s="36">
        <f t="shared" si="19"/>
        <v>1155626.6</v>
      </c>
      <c r="O96" s="7">
        <f t="shared" si="23"/>
        <v>0</v>
      </c>
      <c r="P96" s="36">
        <f t="shared" si="15"/>
        <v>1155626.6</v>
      </c>
      <c r="Q96" s="7">
        <f t="shared" si="23"/>
        <v>0</v>
      </c>
      <c r="R96" s="36">
        <f t="shared" si="16"/>
        <v>1155626.6</v>
      </c>
    </row>
    <row r="97" spans="1:18" ht="12.75">
      <c r="A97" s="62" t="str">
        <f ca="1">IF(ISERROR(MATCH(C97,Код_Раздел,0)),"",INDIRECT(ADDRESS(MATCH(C97,Код_Раздел,0)+1,2,,,"Раздел")))</f>
        <v>Образование</v>
      </c>
      <c r="B97" s="44" t="s">
        <v>446</v>
      </c>
      <c r="C97" s="8" t="s">
        <v>203</v>
      </c>
      <c r="D97" s="1"/>
      <c r="E97" s="115"/>
      <c r="F97" s="7">
        <f t="shared" si="23"/>
        <v>1155626.6</v>
      </c>
      <c r="G97" s="7">
        <f t="shared" si="23"/>
        <v>0</v>
      </c>
      <c r="H97" s="36">
        <f t="shared" si="22"/>
        <v>1155626.6</v>
      </c>
      <c r="I97" s="7">
        <f t="shared" si="23"/>
        <v>0</v>
      </c>
      <c r="J97" s="36">
        <f t="shared" si="21"/>
        <v>1155626.6</v>
      </c>
      <c r="K97" s="7">
        <f t="shared" si="23"/>
        <v>0</v>
      </c>
      <c r="L97" s="36">
        <f t="shared" si="18"/>
        <v>1155626.6</v>
      </c>
      <c r="M97" s="7">
        <f t="shared" si="23"/>
        <v>0</v>
      </c>
      <c r="N97" s="36">
        <f t="shared" si="19"/>
        <v>1155626.6</v>
      </c>
      <c r="O97" s="7">
        <f t="shared" si="23"/>
        <v>0</v>
      </c>
      <c r="P97" s="36">
        <f t="shared" si="15"/>
        <v>1155626.6</v>
      </c>
      <c r="Q97" s="7">
        <f t="shared" si="23"/>
        <v>0</v>
      </c>
      <c r="R97" s="36">
        <f t="shared" si="16"/>
        <v>1155626.6</v>
      </c>
    </row>
    <row r="98" spans="1:18" ht="12.75">
      <c r="A98" s="12" t="s">
        <v>258</v>
      </c>
      <c r="B98" s="44" t="s">
        <v>446</v>
      </c>
      <c r="C98" s="8" t="s">
        <v>203</v>
      </c>
      <c r="D98" s="1" t="s">
        <v>222</v>
      </c>
      <c r="E98" s="115"/>
      <c r="F98" s="7">
        <f t="shared" si="23"/>
        <v>1155626.6</v>
      </c>
      <c r="G98" s="7">
        <f t="shared" si="23"/>
        <v>0</v>
      </c>
      <c r="H98" s="36">
        <f t="shared" si="22"/>
        <v>1155626.6</v>
      </c>
      <c r="I98" s="7">
        <f t="shared" si="23"/>
        <v>0</v>
      </c>
      <c r="J98" s="36">
        <f t="shared" si="21"/>
        <v>1155626.6</v>
      </c>
      <c r="K98" s="7">
        <f t="shared" si="23"/>
        <v>0</v>
      </c>
      <c r="L98" s="36">
        <f t="shared" si="18"/>
        <v>1155626.6</v>
      </c>
      <c r="M98" s="7">
        <f t="shared" si="23"/>
        <v>0</v>
      </c>
      <c r="N98" s="36">
        <f t="shared" si="19"/>
        <v>1155626.6</v>
      </c>
      <c r="O98" s="7">
        <f t="shared" si="23"/>
        <v>0</v>
      </c>
      <c r="P98" s="36">
        <f t="shared" si="15"/>
        <v>1155626.6</v>
      </c>
      <c r="Q98" s="7">
        <f t="shared" si="23"/>
        <v>0</v>
      </c>
      <c r="R98" s="36">
        <f t="shared" si="16"/>
        <v>1155626.6</v>
      </c>
    </row>
    <row r="99" spans="1:18" ht="33">
      <c r="A99" s="62" t="str">
        <f aca="true" t="shared" si="24" ref="A99:A105">IF(ISERROR(MATCH(E99,Код_КВР,0)),"",INDIRECT(ADDRESS(MATCH(E99,Код_КВР,0)+1,2,,,"КВР")))</f>
        <v>Предоставление субсидий бюджетным, автономным учреждениям и иным некоммерческим организациям</v>
      </c>
      <c r="B99" s="44" t="s">
        <v>446</v>
      </c>
      <c r="C99" s="8" t="s">
        <v>203</v>
      </c>
      <c r="D99" s="1" t="s">
        <v>222</v>
      </c>
      <c r="E99" s="115">
        <v>600</v>
      </c>
      <c r="F99" s="7">
        <f>F100+F103</f>
        <v>1155626.6</v>
      </c>
      <c r="G99" s="7">
        <f>G100+G103</f>
        <v>0</v>
      </c>
      <c r="H99" s="36">
        <f t="shared" si="22"/>
        <v>1155626.6</v>
      </c>
      <c r="I99" s="7">
        <f>I100+I103</f>
        <v>0</v>
      </c>
      <c r="J99" s="36">
        <f t="shared" si="21"/>
        <v>1155626.6</v>
      </c>
      <c r="K99" s="7">
        <f>K100+K103</f>
        <v>0</v>
      </c>
      <c r="L99" s="36">
        <f t="shared" si="18"/>
        <v>1155626.6</v>
      </c>
      <c r="M99" s="7">
        <f>M100+M103</f>
        <v>0</v>
      </c>
      <c r="N99" s="36">
        <f t="shared" si="19"/>
        <v>1155626.6</v>
      </c>
      <c r="O99" s="7">
        <f>O100+O103</f>
        <v>0</v>
      </c>
      <c r="P99" s="36">
        <f t="shared" si="15"/>
        <v>1155626.6</v>
      </c>
      <c r="Q99" s="7">
        <f>Q100+Q103</f>
        <v>0</v>
      </c>
      <c r="R99" s="36">
        <f t="shared" si="16"/>
        <v>1155626.6</v>
      </c>
    </row>
    <row r="100" spans="1:18" ht="12.75">
      <c r="A100" s="62" t="str">
        <f ca="1" t="shared" si="24"/>
        <v>Субсидии бюджетным учреждениям</v>
      </c>
      <c r="B100" s="44" t="s">
        <v>446</v>
      </c>
      <c r="C100" s="8" t="s">
        <v>203</v>
      </c>
      <c r="D100" s="1" t="s">
        <v>222</v>
      </c>
      <c r="E100" s="115">
        <v>610</v>
      </c>
      <c r="F100" s="7">
        <f>F101</f>
        <v>1133628.3</v>
      </c>
      <c r="G100" s="7">
        <f>G101</f>
        <v>0</v>
      </c>
      <c r="H100" s="36">
        <f t="shared" si="22"/>
        <v>1133628.3</v>
      </c>
      <c r="I100" s="7">
        <f>I101</f>
        <v>0</v>
      </c>
      <c r="J100" s="36">
        <f t="shared" si="21"/>
        <v>1133628.3</v>
      </c>
      <c r="K100" s="7">
        <f>K101</f>
        <v>0</v>
      </c>
      <c r="L100" s="36">
        <f t="shared" si="18"/>
        <v>1133628.3</v>
      </c>
      <c r="M100" s="7">
        <f>M101</f>
        <v>0</v>
      </c>
      <c r="N100" s="36">
        <f t="shared" si="19"/>
        <v>1133628.3</v>
      </c>
      <c r="O100" s="7">
        <f>O101</f>
        <v>0</v>
      </c>
      <c r="P100" s="36">
        <f t="shared" si="15"/>
        <v>1133628.3</v>
      </c>
      <c r="Q100" s="7">
        <f>Q101+Q102</f>
        <v>0</v>
      </c>
      <c r="R100" s="36">
        <f t="shared" si="16"/>
        <v>1133628.3</v>
      </c>
    </row>
    <row r="101" spans="1:18" ht="49.5">
      <c r="A101" s="62" t="str">
        <f ca="1" t="shared" si="2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" s="44" t="s">
        <v>446</v>
      </c>
      <c r="C101" s="8" t="s">
        <v>203</v>
      </c>
      <c r="D101" s="1" t="s">
        <v>222</v>
      </c>
      <c r="E101" s="115">
        <v>611</v>
      </c>
      <c r="F101" s="7">
        <f>'прил.5'!G639</f>
        <v>1133628.3</v>
      </c>
      <c r="G101" s="7">
        <f>'прил.5'!H639</f>
        <v>0</v>
      </c>
      <c r="H101" s="36">
        <f t="shared" si="22"/>
        <v>1133628.3</v>
      </c>
      <c r="I101" s="7">
        <f>'прил.5'!J639</f>
        <v>0</v>
      </c>
      <c r="J101" s="36">
        <f t="shared" si="21"/>
        <v>1133628.3</v>
      </c>
      <c r="K101" s="7">
        <f>'прил.5'!L639</f>
        <v>0</v>
      </c>
      <c r="L101" s="36">
        <f t="shared" si="18"/>
        <v>1133628.3</v>
      </c>
      <c r="M101" s="7">
        <f>'прил.5'!N639</f>
        <v>0</v>
      </c>
      <c r="N101" s="36">
        <f t="shared" si="19"/>
        <v>1133628.3</v>
      </c>
      <c r="O101" s="7">
        <f>'прил.5'!P639</f>
        <v>0</v>
      </c>
      <c r="P101" s="36">
        <f t="shared" si="15"/>
        <v>1133628.3</v>
      </c>
      <c r="Q101" s="7">
        <f>'прил.5'!R639</f>
        <v>-16910.8</v>
      </c>
      <c r="R101" s="36">
        <f t="shared" si="16"/>
        <v>1116717.5</v>
      </c>
    </row>
    <row r="102" spans="1:18" ht="20.25" customHeight="1">
      <c r="A102" s="62" t="str">
        <f ca="1" t="shared" si="24"/>
        <v>Субсидии бюджетным учреждениям на иные цели</v>
      </c>
      <c r="B102" s="44" t="s">
        <v>446</v>
      </c>
      <c r="C102" s="8" t="s">
        <v>203</v>
      </c>
      <c r="D102" s="1" t="s">
        <v>222</v>
      </c>
      <c r="E102" s="120">
        <v>612</v>
      </c>
      <c r="F102" s="7"/>
      <c r="G102" s="7"/>
      <c r="H102" s="36"/>
      <c r="I102" s="7"/>
      <c r="J102" s="36"/>
      <c r="K102" s="7"/>
      <c r="L102" s="36"/>
      <c r="M102" s="7"/>
      <c r="N102" s="36"/>
      <c r="O102" s="7"/>
      <c r="P102" s="36">
        <f t="shared" si="15"/>
        <v>0</v>
      </c>
      <c r="Q102" s="7">
        <f>'прил.5'!R640</f>
        <v>16910.8</v>
      </c>
      <c r="R102" s="36">
        <f t="shared" si="16"/>
        <v>16910.8</v>
      </c>
    </row>
    <row r="103" spans="1:18" ht="21" customHeight="1">
      <c r="A103" s="62" t="str">
        <f ca="1" t="shared" si="24"/>
        <v>Субсидии автономным учреждениям</v>
      </c>
      <c r="B103" s="44" t="s">
        <v>446</v>
      </c>
      <c r="C103" s="8" t="s">
        <v>203</v>
      </c>
      <c r="D103" s="1" t="s">
        <v>222</v>
      </c>
      <c r="E103" s="115">
        <v>620</v>
      </c>
      <c r="F103" s="7">
        <f>F104</f>
        <v>21998.3</v>
      </c>
      <c r="G103" s="7">
        <f>G104</f>
        <v>0</v>
      </c>
      <c r="H103" s="36">
        <f t="shared" si="22"/>
        <v>21998.3</v>
      </c>
      <c r="I103" s="7">
        <f>I104</f>
        <v>0</v>
      </c>
      <c r="J103" s="36">
        <f t="shared" si="21"/>
        <v>21998.3</v>
      </c>
      <c r="K103" s="7">
        <f>K104</f>
        <v>0</v>
      </c>
      <c r="L103" s="36">
        <f t="shared" si="18"/>
        <v>21998.3</v>
      </c>
      <c r="M103" s="7">
        <f>M104</f>
        <v>0</v>
      </c>
      <c r="N103" s="36">
        <f t="shared" si="19"/>
        <v>21998.3</v>
      </c>
      <c r="O103" s="7">
        <f>O104</f>
        <v>0</v>
      </c>
      <c r="P103" s="36">
        <f t="shared" si="15"/>
        <v>21998.3</v>
      </c>
      <c r="Q103" s="7">
        <f>Q104+Q105</f>
        <v>0</v>
      </c>
      <c r="R103" s="36">
        <f t="shared" si="16"/>
        <v>21998.3</v>
      </c>
    </row>
    <row r="104" spans="1:18" ht="60.75" customHeight="1">
      <c r="A104" s="62" t="str">
        <f ca="1" t="shared" si="24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4" s="44" t="s">
        <v>446</v>
      </c>
      <c r="C104" s="8" t="s">
        <v>203</v>
      </c>
      <c r="D104" s="1" t="s">
        <v>222</v>
      </c>
      <c r="E104" s="115">
        <v>621</v>
      </c>
      <c r="F104" s="7">
        <f>'прил.5'!G642</f>
        <v>21998.3</v>
      </c>
      <c r="G104" s="7">
        <f>'прил.5'!H642</f>
        <v>0</v>
      </c>
      <c r="H104" s="36">
        <f t="shared" si="22"/>
        <v>21998.3</v>
      </c>
      <c r="I104" s="7">
        <f>'прил.5'!J642</f>
        <v>0</v>
      </c>
      <c r="J104" s="36">
        <f t="shared" si="21"/>
        <v>21998.3</v>
      </c>
      <c r="K104" s="7">
        <f>'прил.5'!L642</f>
        <v>0</v>
      </c>
      <c r="L104" s="36">
        <f t="shared" si="18"/>
        <v>21998.3</v>
      </c>
      <c r="M104" s="7">
        <f>'прил.5'!N642</f>
        <v>0</v>
      </c>
      <c r="N104" s="36">
        <f t="shared" si="19"/>
        <v>21998.3</v>
      </c>
      <c r="O104" s="7">
        <f>'прил.5'!P642</f>
        <v>0</v>
      </c>
      <c r="P104" s="36">
        <f t="shared" si="15"/>
        <v>21998.3</v>
      </c>
      <c r="Q104" s="7">
        <f>'прил.5'!R642</f>
        <v>-400.8</v>
      </c>
      <c r="R104" s="36">
        <f t="shared" si="16"/>
        <v>21597.5</v>
      </c>
    </row>
    <row r="105" spans="1:18" ht="27.2" customHeight="1">
      <c r="A105" s="62" t="str">
        <f ca="1" t="shared" si="24"/>
        <v>Субсидии автономным учреждениям на иные цели</v>
      </c>
      <c r="B105" s="44" t="s">
        <v>446</v>
      </c>
      <c r="C105" s="8" t="s">
        <v>203</v>
      </c>
      <c r="D105" s="1" t="s">
        <v>222</v>
      </c>
      <c r="E105" s="120">
        <v>622</v>
      </c>
      <c r="F105" s="7"/>
      <c r="G105" s="7"/>
      <c r="H105" s="36"/>
      <c r="I105" s="7"/>
      <c r="J105" s="36"/>
      <c r="K105" s="7"/>
      <c r="L105" s="36"/>
      <c r="M105" s="7"/>
      <c r="N105" s="36"/>
      <c r="O105" s="7"/>
      <c r="P105" s="36">
        <f t="shared" si="15"/>
        <v>0</v>
      </c>
      <c r="Q105" s="7">
        <f>'прил.5'!R643</f>
        <v>400.8</v>
      </c>
      <c r="R105" s="36">
        <f t="shared" si="16"/>
        <v>400.8</v>
      </c>
    </row>
    <row r="106" spans="1:18" ht="128.25" customHeight="1">
      <c r="A106" s="62" t="str">
        <f ca="1">IF(ISERROR(MATCH(B106,Код_КЦСР,0)),"",INDIRECT(ADDRESS(MATCH(B106,Код_КЦСР,0)+1,2,,,"КЦСР")))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106" s="44" t="s">
        <v>443</v>
      </c>
      <c r="C106" s="8"/>
      <c r="D106" s="1"/>
      <c r="E106" s="115"/>
      <c r="F106" s="7">
        <f aca="true" t="shared" si="25" ref="F106:Q110">F107</f>
        <v>6276.3</v>
      </c>
      <c r="G106" s="7">
        <f t="shared" si="25"/>
        <v>0</v>
      </c>
      <c r="H106" s="36">
        <f t="shared" si="22"/>
        <v>6276.3</v>
      </c>
      <c r="I106" s="7">
        <f t="shared" si="25"/>
        <v>0</v>
      </c>
      <c r="J106" s="36">
        <f t="shared" si="21"/>
        <v>6276.3</v>
      </c>
      <c r="K106" s="7">
        <f t="shared" si="25"/>
        <v>0</v>
      </c>
      <c r="L106" s="36">
        <f t="shared" si="18"/>
        <v>6276.3</v>
      </c>
      <c r="M106" s="7">
        <f t="shared" si="25"/>
        <v>0</v>
      </c>
      <c r="N106" s="36">
        <f t="shared" si="19"/>
        <v>6276.3</v>
      </c>
      <c r="O106" s="7">
        <f t="shared" si="25"/>
        <v>0</v>
      </c>
      <c r="P106" s="36">
        <f t="shared" si="15"/>
        <v>6276.3</v>
      </c>
      <c r="Q106" s="7">
        <f t="shared" si="25"/>
        <v>0</v>
      </c>
      <c r="R106" s="36">
        <f t="shared" si="16"/>
        <v>6276.3</v>
      </c>
    </row>
    <row r="107" spans="1:18" ht="20.25" customHeight="1">
      <c r="A107" s="62" t="str">
        <f ca="1">IF(ISERROR(MATCH(C107,Код_Раздел,0)),"",INDIRECT(ADDRESS(MATCH(C107,Код_Раздел,0)+1,2,,,"Раздел")))</f>
        <v>Социальная политика</v>
      </c>
      <c r="B107" s="44" t="s">
        <v>443</v>
      </c>
      <c r="C107" s="8" t="s">
        <v>196</v>
      </c>
      <c r="D107" s="1"/>
      <c r="E107" s="115"/>
      <c r="F107" s="7">
        <f t="shared" si="25"/>
        <v>6276.3</v>
      </c>
      <c r="G107" s="7">
        <f t="shared" si="25"/>
        <v>0</v>
      </c>
      <c r="H107" s="36">
        <f t="shared" si="22"/>
        <v>6276.3</v>
      </c>
      <c r="I107" s="7">
        <f t="shared" si="25"/>
        <v>0</v>
      </c>
      <c r="J107" s="36">
        <f t="shared" si="21"/>
        <v>6276.3</v>
      </c>
      <c r="K107" s="7">
        <f t="shared" si="25"/>
        <v>0</v>
      </c>
      <c r="L107" s="36">
        <f t="shared" si="18"/>
        <v>6276.3</v>
      </c>
      <c r="M107" s="7">
        <f t="shared" si="25"/>
        <v>0</v>
      </c>
      <c r="N107" s="36">
        <f t="shared" si="19"/>
        <v>6276.3</v>
      </c>
      <c r="O107" s="7">
        <f t="shared" si="25"/>
        <v>0</v>
      </c>
      <c r="P107" s="36">
        <f t="shared" si="15"/>
        <v>6276.3</v>
      </c>
      <c r="Q107" s="7">
        <f t="shared" si="25"/>
        <v>0</v>
      </c>
      <c r="R107" s="36">
        <f t="shared" si="16"/>
        <v>6276.3</v>
      </c>
    </row>
    <row r="108" spans="1:18" ht="19.5" customHeight="1">
      <c r="A108" s="12" t="s">
        <v>187</v>
      </c>
      <c r="B108" s="44" t="s">
        <v>443</v>
      </c>
      <c r="C108" s="8" t="s">
        <v>196</v>
      </c>
      <c r="D108" s="8" t="s">
        <v>223</v>
      </c>
      <c r="E108" s="115"/>
      <c r="F108" s="7">
        <f t="shared" si="25"/>
        <v>6276.3</v>
      </c>
      <c r="G108" s="7">
        <f t="shared" si="25"/>
        <v>0</v>
      </c>
      <c r="H108" s="36">
        <f t="shared" si="22"/>
        <v>6276.3</v>
      </c>
      <c r="I108" s="7">
        <f t="shared" si="25"/>
        <v>0</v>
      </c>
      <c r="J108" s="36">
        <f t="shared" si="21"/>
        <v>6276.3</v>
      </c>
      <c r="K108" s="7">
        <f t="shared" si="25"/>
        <v>0</v>
      </c>
      <c r="L108" s="36">
        <f t="shared" si="18"/>
        <v>6276.3</v>
      </c>
      <c r="M108" s="7">
        <f t="shared" si="25"/>
        <v>0</v>
      </c>
      <c r="N108" s="36">
        <f t="shared" si="19"/>
        <v>6276.3</v>
      </c>
      <c r="O108" s="7">
        <f t="shared" si="25"/>
        <v>0</v>
      </c>
      <c r="P108" s="36">
        <f t="shared" si="15"/>
        <v>6276.3</v>
      </c>
      <c r="Q108" s="7">
        <f t="shared" si="25"/>
        <v>0</v>
      </c>
      <c r="R108" s="36">
        <f t="shared" si="16"/>
        <v>6276.3</v>
      </c>
    </row>
    <row r="109" spans="1:18" ht="20.25" customHeight="1">
      <c r="A109" s="62" t="str">
        <f ca="1">IF(ISERROR(MATCH(E109,Код_КВР,0)),"",INDIRECT(ADDRESS(MATCH(E109,Код_КВР,0)+1,2,,,"КВР")))</f>
        <v>Социальное обеспечение и иные выплаты населению</v>
      </c>
      <c r="B109" s="44" t="s">
        <v>443</v>
      </c>
      <c r="C109" s="8" t="s">
        <v>196</v>
      </c>
      <c r="D109" s="8" t="s">
        <v>223</v>
      </c>
      <c r="E109" s="115">
        <v>300</v>
      </c>
      <c r="F109" s="7">
        <f t="shared" si="25"/>
        <v>6276.3</v>
      </c>
      <c r="G109" s="7">
        <f t="shared" si="25"/>
        <v>0</v>
      </c>
      <c r="H109" s="36">
        <f t="shared" si="22"/>
        <v>6276.3</v>
      </c>
      <c r="I109" s="7">
        <f t="shared" si="25"/>
        <v>0</v>
      </c>
      <c r="J109" s="36">
        <f t="shared" si="21"/>
        <v>6276.3</v>
      </c>
      <c r="K109" s="7">
        <f t="shared" si="25"/>
        <v>0</v>
      </c>
      <c r="L109" s="36">
        <f t="shared" si="18"/>
        <v>6276.3</v>
      </c>
      <c r="M109" s="7">
        <f t="shared" si="25"/>
        <v>0</v>
      </c>
      <c r="N109" s="36">
        <f t="shared" si="19"/>
        <v>6276.3</v>
      </c>
      <c r="O109" s="7">
        <f t="shared" si="25"/>
        <v>0</v>
      </c>
      <c r="P109" s="36">
        <f t="shared" si="15"/>
        <v>6276.3</v>
      </c>
      <c r="Q109" s="7">
        <f t="shared" si="25"/>
        <v>0</v>
      </c>
      <c r="R109" s="36">
        <f t="shared" si="16"/>
        <v>6276.3</v>
      </c>
    </row>
    <row r="110" spans="1:18" ht="33.75" customHeight="1">
      <c r="A110" s="62" t="str">
        <f ca="1">IF(ISERROR(MATCH(E110,Код_КВР,0)),"",INDIRECT(ADDRESS(MATCH(E110,Код_КВР,0)+1,2,,,"КВР")))</f>
        <v>Социальные выплаты гражданам, кроме публичных нормативных социальных выплат</v>
      </c>
      <c r="B110" s="44" t="s">
        <v>443</v>
      </c>
      <c r="C110" s="8" t="s">
        <v>196</v>
      </c>
      <c r="D110" s="8" t="s">
        <v>223</v>
      </c>
      <c r="E110" s="115">
        <v>320</v>
      </c>
      <c r="F110" s="7">
        <f t="shared" si="25"/>
        <v>6276.3</v>
      </c>
      <c r="G110" s="7">
        <f t="shared" si="25"/>
        <v>0</v>
      </c>
      <c r="H110" s="36">
        <f t="shared" si="22"/>
        <v>6276.3</v>
      </c>
      <c r="I110" s="7">
        <f t="shared" si="25"/>
        <v>0</v>
      </c>
      <c r="J110" s="36">
        <f t="shared" si="21"/>
        <v>6276.3</v>
      </c>
      <c r="K110" s="7">
        <f t="shared" si="25"/>
        <v>0</v>
      </c>
      <c r="L110" s="36">
        <f t="shared" si="18"/>
        <v>6276.3</v>
      </c>
      <c r="M110" s="7">
        <f t="shared" si="25"/>
        <v>0</v>
      </c>
      <c r="N110" s="36">
        <f t="shared" si="19"/>
        <v>6276.3</v>
      </c>
      <c r="O110" s="7">
        <f t="shared" si="25"/>
        <v>0</v>
      </c>
      <c r="P110" s="36">
        <f t="shared" si="15"/>
        <v>6276.3</v>
      </c>
      <c r="Q110" s="7">
        <f t="shared" si="25"/>
        <v>0</v>
      </c>
      <c r="R110" s="36">
        <f t="shared" si="16"/>
        <v>6276.3</v>
      </c>
    </row>
    <row r="111" spans="1:18" ht="38.25" customHeight="1">
      <c r="A111" s="62" t="str">
        <f ca="1">IF(ISERROR(MATCH(E111,Код_КВР,0)),"",INDIRECT(ADDRESS(MATCH(E111,Код_КВР,0)+1,2,,,"КВР")))</f>
        <v>Пособия, компенсации и иные социальные выплаты гражданам, кроме публичных нормативных обязательств</v>
      </c>
      <c r="B111" s="44" t="s">
        <v>443</v>
      </c>
      <c r="C111" s="8" t="s">
        <v>196</v>
      </c>
      <c r="D111" s="8" t="s">
        <v>223</v>
      </c>
      <c r="E111" s="115">
        <v>321</v>
      </c>
      <c r="F111" s="7">
        <f>'прил.5'!G812</f>
        <v>6276.3</v>
      </c>
      <c r="G111" s="7">
        <f>'прил.5'!H812</f>
        <v>0</v>
      </c>
      <c r="H111" s="36">
        <f t="shared" si="22"/>
        <v>6276.3</v>
      </c>
      <c r="I111" s="7">
        <f>'прил.5'!J812</f>
        <v>0</v>
      </c>
      <c r="J111" s="36">
        <f t="shared" si="21"/>
        <v>6276.3</v>
      </c>
      <c r="K111" s="7">
        <f>'прил.5'!L812</f>
        <v>0</v>
      </c>
      <c r="L111" s="36">
        <f t="shared" si="18"/>
        <v>6276.3</v>
      </c>
      <c r="M111" s="7">
        <f>'прил.5'!N812</f>
        <v>0</v>
      </c>
      <c r="N111" s="36">
        <f t="shared" si="19"/>
        <v>6276.3</v>
      </c>
      <c r="O111" s="7">
        <f>'прил.5'!P812</f>
        <v>0</v>
      </c>
      <c r="P111" s="36">
        <f t="shared" si="15"/>
        <v>6276.3</v>
      </c>
      <c r="Q111" s="7">
        <f>'прил.5'!R812</f>
        <v>0</v>
      </c>
      <c r="R111" s="36">
        <f t="shared" si="16"/>
        <v>6276.3</v>
      </c>
    </row>
    <row r="112" spans="1:18" ht="102" customHeight="1">
      <c r="A112" s="62" t="str">
        <f ca="1">IF(ISERROR(MATCH(B112,Код_КЦСР,0)),"",INDIRECT(ADDRESS(MATCH(B112,Код_КЦСР,0)+1,2,,,"КЦСР")))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12" s="44" t="s">
        <v>445</v>
      </c>
      <c r="C112" s="8"/>
      <c r="D112" s="1"/>
      <c r="E112" s="115"/>
      <c r="F112" s="7">
        <f aca="true" t="shared" si="26" ref="F112:Q122">F113</f>
        <v>18111.4</v>
      </c>
      <c r="G112" s="7">
        <f t="shared" si="26"/>
        <v>0</v>
      </c>
      <c r="H112" s="36">
        <f t="shared" si="22"/>
        <v>18111.4</v>
      </c>
      <c r="I112" s="7">
        <f t="shared" si="26"/>
        <v>0</v>
      </c>
      <c r="J112" s="36">
        <f t="shared" si="21"/>
        <v>18111.4</v>
      </c>
      <c r="K112" s="7">
        <f t="shared" si="26"/>
        <v>0</v>
      </c>
      <c r="L112" s="36">
        <f t="shared" si="18"/>
        <v>18111.4</v>
      </c>
      <c r="M112" s="7">
        <f t="shared" si="26"/>
        <v>0</v>
      </c>
      <c r="N112" s="36">
        <f t="shared" si="19"/>
        <v>18111.4</v>
      </c>
      <c r="O112" s="7">
        <f t="shared" si="26"/>
        <v>0</v>
      </c>
      <c r="P112" s="36">
        <f t="shared" si="15"/>
        <v>18111.4</v>
      </c>
      <c r="Q112" s="7">
        <f t="shared" si="26"/>
        <v>628.8</v>
      </c>
      <c r="R112" s="36">
        <f t="shared" si="16"/>
        <v>18740.2</v>
      </c>
    </row>
    <row r="113" spans="1:18" ht="20.25" customHeight="1">
      <c r="A113" s="62" t="str">
        <f ca="1">IF(ISERROR(MATCH(C113,Код_Раздел,0)),"",INDIRECT(ADDRESS(MATCH(C113,Код_Раздел,0)+1,2,,,"Раздел")))</f>
        <v>Образование</v>
      </c>
      <c r="B113" s="44" t="s">
        <v>445</v>
      </c>
      <c r="C113" s="8" t="s">
        <v>203</v>
      </c>
      <c r="D113" s="1"/>
      <c r="E113" s="115"/>
      <c r="F113" s="7">
        <f>F120+F124</f>
        <v>18111.4</v>
      </c>
      <c r="G113" s="7">
        <f aca="true" t="shared" si="27" ref="G113:I113">G120+G124</f>
        <v>0</v>
      </c>
      <c r="H113" s="7">
        <f t="shared" si="27"/>
        <v>18111.4</v>
      </c>
      <c r="I113" s="7">
        <f t="shared" si="27"/>
        <v>0</v>
      </c>
      <c r="J113" s="36">
        <f t="shared" si="21"/>
        <v>18111.4</v>
      </c>
      <c r="K113" s="7">
        <f aca="true" t="shared" si="28" ref="K113:M113">K120+K124</f>
        <v>0</v>
      </c>
      <c r="L113" s="36">
        <f t="shared" si="18"/>
        <v>18111.4</v>
      </c>
      <c r="M113" s="7">
        <f t="shared" si="28"/>
        <v>0</v>
      </c>
      <c r="N113" s="36">
        <f t="shared" si="19"/>
        <v>18111.4</v>
      </c>
      <c r="O113" s="7">
        <f>O120+O124</f>
        <v>0</v>
      </c>
      <c r="P113" s="36">
        <f t="shared" si="15"/>
        <v>18111.4</v>
      </c>
      <c r="Q113" s="7">
        <f>Q120+Q124+Q114</f>
        <v>628.8</v>
      </c>
      <c r="R113" s="36">
        <f t="shared" si="16"/>
        <v>18740.2</v>
      </c>
    </row>
    <row r="114" spans="1:18" ht="20.25" customHeight="1">
      <c r="A114" s="12" t="s">
        <v>266</v>
      </c>
      <c r="B114" s="44" t="s">
        <v>445</v>
      </c>
      <c r="C114" s="8" t="s">
        <v>203</v>
      </c>
      <c r="D114" s="1" t="s">
        <v>221</v>
      </c>
      <c r="E114" s="121"/>
      <c r="F114" s="7"/>
      <c r="G114" s="7"/>
      <c r="H114" s="7"/>
      <c r="I114" s="7"/>
      <c r="J114" s="36"/>
      <c r="K114" s="7"/>
      <c r="L114" s="36"/>
      <c r="M114" s="7"/>
      <c r="N114" s="36"/>
      <c r="O114" s="7"/>
      <c r="P114" s="36"/>
      <c r="Q114" s="7">
        <f>Q115</f>
        <v>628.8</v>
      </c>
      <c r="R114" s="36">
        <f t="shared" si="16"/>
        <v>628.8</v>
      </c>
    </row>
    <row r="115" spans="1:18" ht="20.25" customHeight="1">
      <c r="A115" s="62" t="str">
        <f ca="1">IF(ISERROR(MATCH(E115,Код_КВР,0)),"",INDIRECT(ADDRESS(MATCH(E115,Код_КВР,0)+1,2,,,"КВР")))</f>
        <v>Предоставление субсидий бюджетным, автономным учреждениям и иным некоммерческим организациям</v>
      </c>
      <c r="B115" s="44" t="s">
        <v>445</v>
      </c>
      <c r="C115" s="8" t="s">
        <v>203</v>
      </c>
      <c r="D115" s="1" t="s">
        <v>221</v>
      </c>
      <c r="E115" s="121">
        <v>600</v>
      </c>
      <c r="F115" s="7"/>
      <c r="G115" s="7"/>
      <c r="H115" s="7"/>
      <c r="I115" s="7"/>
      <c r="J115" s="36"/>
      <c r="K115" s="7"/>
      <c r="L115" s="36"/>
      <c r="M115" s="7"/>
      <c r="N115" s="36"/>
      <c r="O115" s="7"/>
      <c r="P115" s="36"/>
      <c r="Q115" s="7">
        <f>Q116+Q118</f>
        <v>628.8</v>
      </c>
      <c r="R115" s="36">
        <f t="shared" si="16"/>
        <v>628.8</v>
      </c>
    </row>
    <row r="116" spans="1:18" ht="20.25" customHeight="1">
      <c r="A116" s="62" t="str">
        <f ca="1">IF(ISERROR(MATCH(E116,Код_КВР,0)),"",INDIRECT(ADDRESS(MATCH(E116,Код_КВР,0)+1,2,,,"КВР")))</f>
        <v>Субсидии бюджетным учреждениям</v>
      </c>
      <c r="B116" s="44" t="s">
        <v>445</v>
      </c>
      <c r="C116" s="8" t="s">
        <v>203</v>
      </c>
      <c r="D116" s="1" t="s">
        <v>221</v>
      </c>
      <c r="E116" s="121">
        <v>610</v>
      </c>
      <c r="F116" s="7"/>
      <c r="G116" s="7"/>
      <c r="H116" s="7"/>
      <c r="I116" s="7"/>
      <c r="J116" s="36"/>
      <c r="K116" s="7"/>
      <c r="L116" s="36"/>
      <c r="M116" s="7"/>
      <c r="N116" s="36"/>
      <c r="O116" s="7"/>
      <c r="P116" s="36"/>
      <c r="Q116" s="7">
        <f>Q117</f>
        <v>528.8</v>
      </c>
      <c r="R116" s="36">
        <f t="shared" si="16"/>
        <v>528.8</v>
      </c>
    </row>
    <row r="117" spans="1:18" ht="20.25" customHeight="1">
      <c r="A117" s="62" t="str">
        <f ca="1">IF(ISERROR(MATCH(E117,Код_КВР,0)),"",INDIRECT(ADDRESS(MATCH(E117,Код_КВР,0)+1,2,,,"КВР")))</f>
        <v>Субсидии бюджетным учреждениям на иные цели</v>
      </c>
      <c r="B117" s="44" t="s">
        <v>445</v>
      </c>
      <c r="C117" s="8" t="s">
        <v>203</v>
      </c>
      <c r="D117" s="1" t="s">
        <v>221</v>
      </c>
      <c r="E117" s="121">
        <v>612</v>
      </c>
      <c r="F117" s="7"/>
      <c r="G117" s="7"/>
      <c r="H117" s="7"/>
      <c r="I117" s="7"/>
      <c r="J117" s="36"/>
      <c r="K117" s="7"/>
      <c r="L117" s="36"/>
      <c r="M117" s="7"/>
      <c r="N117" s="36"/>
      <c r="O117" s="7"/>
      <c r="P117" s="36"/>
      <c r="Q117" s="7">
        <f>'прил.5'!R597</f>
        <v>528.8</v>
      </c>
      <c r="R117" s="36">
        <f t="shared" si="16"/>
        <v>528.8</v>
      </c>
    </row>
    <row r="118" spans="1:18" ht="20.25" customHeight="1">
      <c r="A118" s="62" t="str">
        <f ca="1">IF(ISERROR(MATCH(E118,Код_КВР,0)),"",INDIRECT(ADDRESS(MATCH(E118,Код_КВР,0)+1,2,,,"КВР")))</f>
        <v>Субсидии автономным учреждениям</v>
      </c>
      <c r="B118" s="44" t="s">
        <v>445</v>
      </c>
      <c r="C118" s="8" t="s">
        <v>203</v>
      </c>
      <c r="D118" s="1" t="s">
        <v>221</v>
      </c>
      <c r="E118" s="121">
        <v>620</v>
      </c>
      <c r="F118" s="7"/>
      <c r="G118" s="7"/>
      <c r="H118" s="7"/>
      <c r="I118" s="7"/>
      <c r="J118" s="36"/>
      <c r="K118" s="7"/>
      <c r="L118" s="36"/>
      <c r="M118" s="7"/>
      <c r="N118" s="36"/>
      <c r="O118" s="7"/>
      <c r="P118" s="36"/>
      <c r="Q118" s="7">
        <f>Q119</f>
        <v>100</v>
      </c>
      <c r="R118" s="36">
        <f t="shared" si="16"/>
        <v>100</v>
      </c>
    </row>
    <row r="119" spans="1:18" ht="20.25" customHeight="1">
      <c r="A119" s="62" t="str">
        <f ca="1">IF(ISERROR(MATCH(E119,Код_КВР,0)),"",INDIRECT(ADDRESS(MATCH(E119,Код_КВР,0)+1,2,,,"КВР")))</f>
        <v>Субсидии автономным учреждениям на иные цели</v>
      </c>
      <c r="B119" s="44" t="s">
        <v>445</v>
      </c>
      <c r="C119" s="8" t="s">
        <v>203</v>
      </c>
      <c r="D119" s="1" t="s">
        <v>221</v>
      </c>
      <c r="E119" s="121">
        <v>622</v>
      </c>
      <c r="F119" s="7"/>
      <c r="G119" s="7"/>
      <c r="H119" s="7"/>
      <c r="I119" s="7"/>
      <c r="J119" s="36"/>
      <c r="K119" s="7"/>
      <c r="L119" s="36"/>
      <c r="M119" s="7"/>
      <c r="N119" s="36"/>
      <c r="O119" s="7"/>
      <c r="P119" s="36"/>
      <c r="Q119" s="7">
        <f>'прил.5'!R599</f>
        <v>100</v>
      </c>
      <c r="R119" s="36">
        <f t="shared" si="16"/>
        <v>100</v>
      </c>
    </row>
    <row r="120" spans="1:18" ht="19.5" customHeight="1">
      <c r="A120" s="12" t="s">
        <v>258</v>
      </c>
      <c r="B120" s="44" t="s">
        <v>445</v>
      </c>
      <c r="C120" s="8" t="s">
        <v>203</v>
      </c>
      <c r="D120" s="1" t="s">
        <v>222</v>
      </c>
      <c r="E120" s="115"/>
      <c r="F120" s="7">
        <f t="shared" si="26"/>
        <v>18111.4</v>
      </c>
      <c r="G120" s="7">
        <f t="shared" si="26"/>
        <v>0</v>
      </c>
      <c r="H120" s="36">
        <f t="shared" si="22"/>
        <v>18111.4</v>
      </c>
      <c r="I120" s="7">
        <f t="shared" si="26"/>
        <v>-7173</v>
      </c>
      <c r="J120" s="36">
        <f t="shared" si="21"/>
        <v>10938.400000000001</v>
      </c>
      <c r="K120" s="7">
        <f t="shared" si="26"/>
        <v>0</v>
      </c>
      <c r="L120" s="36">
        <f t="shared" si="18"/>
        <v>10938.400000000001</v>
      </c>
      <c r="M120" s="7">
        <f t="shared" si="26"/>
        <v>0</v>
      </c>
      <c r="N120" s="36">
        <f t="shared" si="19"/>
        <v>10938.400000000001</v>
      </c>
      <c r="O120" s="7">
        <f t="shared" si="26"/>
        <v>0</v>
      </c>
      <c r="P120" s="36">
        <f t="shared" si="15"/>
        <v>10938.400000000001</v>
      </c>
      <c r="Q120" s="7">
        <f t="shared" si="26"/>
        <v>0</v>
      </c>
      <c r="R120" s="36">
        <f t="shared" si="16"/>
        <v>10938.400000000001</v>
      </c>
    </row>
    <row r="121" spans="1:18" ht="33">
      <c r="A121" s="62" t="str">
        <f ca="1">IF(ISERROR(MATCH(E121,Код_КВР,0)),"",INDIRECT(ADDRESS(MATCH(E121,Код_КВР,0)+1,2,,,"КВР")))</f>
        <v>Предоставление субсидий бюджетным, автономным учреждениям и иным некоммерческим организациям</v>
      </c>
      <c r="B121" s="44" t="s">
        <v>445</v>
      </c>
      <c r="C121" s="8" t="s">
        <v>203</v>
      </c>
      <c r="D121" s="1" t="s">
        <v>222</v>
      </c>
      <c r="E121" s="115">
        <v>600</v>
      </c>
      <c r="F121" s="7">
        <f t="shared" si="26"/>
        <v>18111.4</v>
      </c>
      <c r="G121" s="7">
        <f t="shared" si="26"/>
        <v>0</v>
      </c>
      <c r="H121" s="36">
        <f t="shared" si="22"/>
        <v>18111.4</v>
      </c>
      <c r="I121" s="7">
        <f t="shared" si="26"/>
        <v>-7173</v>
      </c>
      <c r="J121" s="36">
        <f t="shared" si="21"/>
        <v>10938.400000000001</v>
      </c>
      <c r="K121" s="7">
        <f t="shared" si="26"/>
        <v>0</v>
      </c>
      <c r="L121" s="36">
        <f t="shared" si="18"/>
        <v>10938.400000000001</v>
      </c>
      <c r="M121" s="7">
        <f t="shared" si="26"/>
        <v>0</v>
      </c>
      <c r="N121" s="36">
        <f t="shared" si="19"/>
        <v>10938.400000000001</v>
      </c>
      <c r="O121" s="7">
        <f t="shared" si="26"/>
        <v>0</v>
      </c>
      <c r="P121" s="36">
        <f t="shared" si="15"/>
        <v>10938.400000000001</v>
      </c>
      <c r="Q121" s="7">
        <f t="shared" si="26"/>
        <v>0</v>
      </c>
      <c r="R121" s="36">
        <f t="shared" si="16"/>
        <v>10938.400000000001</v>
      </c>
    </row>
    <row r="122" spans="1:18" ht="12.75">
      <c r="A122" s="62" t="str">
        <f ca="1">IF(ISERROR(MATCH(E122,Код_КВР,0)),"",INDIRECT(ADDRESS(MATCH(E122,Код_КВР,0)+1,2,,,"КВР")))</f>
        <v>Субсидии бюджетным учреждениям</v>
      </c>
      <c r="B122" s="44" t="s">
        <v>445</v>
      </c>
      <c r="C122" s="8" t="s">
        <v>203</v>
      </c>
      <c r="D122" s="1" t="s">
        <v>222</v>
      </c>
      <c r="E122" s="115">
        <v>610</v>
      </c>
      <c r="F122" s="7">
        <f t="shared" si="26"/>
        <v>18111.4</v>
      </c>
      <c r="G122" s="7">
        <f t="shared" si="26"/>
        <v>0</v>
      </c>
      <c r="H122" s="36">
        <f t="shared" si="22"/>
        <v>18111.4</v>
      </c>
      <c r="I122" s="7">
        <f t="shared" si="26"/>
        <v>-7173</v>
      </c>
      <c r="J122" s="36">
        <f t="shared" si="21"/>
        <v>10938.400000000001</v>
      </c>
      <c r="K122" s="7">
        <f t="shared" si="26"/>
        <v>0</v>
      </c>
      <c r="L122" s="36">
        <f t="shared" si="18"/>
        <v>10938.400000000001</v>
      </c>
      <c r="M122" s="7">
        <f t="shared" si="26"/>
        <v>0</v>
      </c>
      <c r="N122" s="36">
        <f t="shared" si="19"/>
        <v>10938.400000000001</v>
      </c>
      <c r="O122" s="7">
        <f t="shared" si="26"/>
        <v>0</v>
      </c>
      <c r="P122" s="36">
        <f t="shared" si="15"/>
        <v>10938.400000000001</v>
      </c>
      <c r="Q122" s="7">
        <f t="shared" si="26"/>
        <v>0</v>
      </c>
      <c r="R122" s="36">
        <f t="shared" si="16"/>
        <v>10938.400000000001</v>
      </c>
    </row>
    <row r="123" spans="1:18" ht="54" customHeight="1">
      <c r="A123" s="62" t="str">
        <f ca="1">IF(ISERROR(MATCH(E123,Код_КВР,0)),"",INDIRECT(ADDRESS(MATCH(E123,Код_КВР,0)+1,2,,,"КВР")))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3" s="44" t="s">
        <v>445</v>
      </c>
      <c r="C123" s="8" t="s">
        <v>203</v>
      </c>
      <c r="D123" s="1" t="s">
        <v>222</v>
      </c>
      <c r="E123" s="115">
        <v>611</v>
      </c>
      <c r="F123" s="7">
        <f>'прил.5'!G647</f>
        <v>18111.4</v>
      </c>
      <c r="G123" s="7">
        <f>'прил.5'!H647</f>
        <v>0</v>
      </c>
      <c r="H123" s="36">
        <f t="shared" si="22"/>
        <v>18111.4</v>
      </c>
      <c r="I123" s="7">
        <f>'прил.5'!J647</f>
        <v>-7173</v>
      </c>
      <c r="J123" s="36">
        <f t="shared" si="21"/>
        <v>10938.400000000001</v>
      </c>
      <c r="K123" s="7">
        <f>'прил.5'!L647</f>
        <v>0</v>
      </c>
      <c r="L123" s="36">
        <f t="shared" si="18"/>
        <v>10938.400000000001</v>
      </c>
      <c r="M123" s="7">
        <f>'прил.5'!N647</f>
        <v>0</v>
      </c>
      <c r="N123" s="36">
        <f t="shared" si="19"/>
        <v>10938.400000000001</v>
      </c>
      <c r="O123" s="7">
        <f>'прил.5'!P647</f>
        <v>0</v>
      </c>
      <c r="P123" s="36">
        <f t="shared" si="15"/>
        <v>10938.400000000001</v>
      </c>
      <c r="Q123" s="7">
        <f>'прил.5'!R647</f>
        <v>0</v>
      </c>
      <c r="R123" s="36">
        <f t="shared" si="16"/>
        <v>10938.400000000001</v>
      </c>
    </row>
    <row r="124" spans="1:18" ht="12.75">
      <c r="A124" s="12" t="s">
        <v>258</v>
      </c>
      <c r="B124" s="44" t="s">
        <v>445</v>
      </c>
      <c r="C124" s="8" t="s">
        <v>203</v>
      </c>
      <c r="D124" s="1" t="s">
        <v>227</v>
      </c>
      <c r="E124" s="115"/>
      <c r="F124" s="7">
        <f>F125</f>
        <v>0</v>
      </c>
      <c r="G124" s="7">
        <f aca="true" t="shared" si="29" ref="G124:Q126">G125</f>
        <v>0</v>
      </c>
      <c r="H124" s="7">
        <f t="shared" si="29"/>
        <v>0</v>
      </c>
      <c r="I124" s="7">
        <f t="shared" si="29"/>
        <v>7173</v>
      </c>
      <c r="J124" s="36">
        <f t="shared" si="21"/>
        <v>7173</v>
      </c>
      <c r="K124" s="7">
        <f t="shared" si="29"/>
        <v>0</v>
      </c>
      <c r="L124" s="36">
        <f t="shared" si="18"/>
        <v>7173</v>
      </c>
      <c r="M124" s="7">
        <f t="shared" si="29"/>
        <v>0</v>
      </c>
      <c r="N124" s="36">
        <f t="shared" si="19"/>
        <v>7173</v>
      </c>
      <c r="O124" s="7">
        <f t="shared" si="29"/>
        <v>0</v>
      </c>
      <c r="P124" s="36">
        <f t="shared" si="15"/>
        <v>7173</v>
      </c>
      <c r="Q124" s="7">
        <f t="shared" si="29"/>
        <v>0</v>
      </c>
      <c r="R124" s="36">
        <f t="shared" si="16"/>
        <v>7173</v>
      </c>
    </row>
    <row r="125" spans="1:18" ht="33">
      <c r="A125" s="62" t="str">
        <f ca="1">IF(ISERROR(MATCH(E125,Код_КВР,0)),"",INDIRECT(ADDRESS(MATCH(E125,Код_КВР,0)+1,2,,,"КВР")))</f>
        <v>Предоставление субсидий бюджетным, автономным учреждениям и иным некоммерческим организациям</v>
      </c>
      <c r="B125" s="44" t="s">
        <v>445</v>
      </c>
      <c r="C125" s="8" t="s">
        <v>203</v>
      </c>
      <c r="D125" s="1" t="s">
        <v>227</v>
      </c>
      <c r="E125" s="115">
        <v>600</v>
      </c>
      <c r="F125" s="7">
        <f>F126</f>
        <v>0</v>
      </c>
      <c r="G125" s="7">
        <f t="shared" si="29"/>
        <v>0</v>
      </c>
      <c r="H125" s="7">
        <f t="shared" si="29"/>
        <v>0</v>
      </c>
      <c r="I125" s="7">
        <f>I126+I128</f>
        <v>7173</v>
      </c>
      <c r="J125" s="36">
        <f t="shared" si="21"/>
        <v>7173</v>
      </c>
      <c r="K125" s="7">
        <f>K126+K128</f>
        <v>0</v>
      </c>
      <c r="L125" s="36">
        <f t="shared" si="18"/>
        <v>7173</v>
      </c>
      <c r="M125" s="7">
        <f>M126+M128</f>
        <v>0</v>
      </c>
      <c r="N125" s="36">
        <f t="shared" si="19"/>
        <v>7173</v>
      </c>
      <c r="O125" s="7">
        <f>O126+O128</f>
        <v>0</v>
      </c>
      <c r="P125" s="36">
        <f t="shared" si="15"/>
        <v>7173</v>
      </c>
      <c r="Q125" s="7">
        <f>Q126+Q128</f>
        <v>0</v>
      </c>
      <c r="R125" s="36">
        <f t="shared" si="16"/>
        <v>7173</v>
      </c>
    </row>
    <row r="126" spans="1:18" ht="12.75">
      <c r="A126" s="62" t="str">
        <f ca="1">IF(ISERROR(MATCH(E126,Код_КВР,0)),"",INDIRECT(ADDRESS(MATCH(E126,Код_КВР,0)+1,2,,,"КВР")))</f>
        <v>Субсидии бюджетным учреждениям</v>
      </c>
      <c r="B126" s="44" t="s">
        <v>445</v>
      </c>
      <c r="C126" s="8" t="s">
        <v>203</v>
      </c>
      <c r="D126" s="1" t="s">
        <v>227</v>
      </c>
      <c r="E126" s="115">
        <v>610</v>
      </c>
      <c r="F126" s="7">
        <f>F127</f>
        <v>0</v>
      </c>
      <c r="G126" s="7">
        <f t="shared" si="29"/>
        <v>0</v>
      </c>
      <c r="H126" s="7">
        <f t="shared" si="29"/>
        <v>0</v>
      </c>
      <c r="I126" s="7">
        <f t="shared" si="29"/>
        <v>1874.9</v>
      </c>
      <c r="J126" s="36">
        <f t="shared" si="21"/>
        <v>1874.9</v>
      </c>
      <c r="K126" s="7">
        <f t="shared" si="29"/>
        <v>0</v>
      </c>
      <c r="L126" s="36">
        <f t="shared" si="18"/>
        <v>1874.9</v>
      </c>
      <c r="M126" s="7">
        <f t="shared" si="29"/>
        <v>0</v>
      </c>
      <c r="N126" s="36">
        <f t="shared" si="19"/>
        <v>1874.9</v>
      </c>
      <c r="O126" s="7">
        <f t="shared" si="29"/>
        <v>0</v>
      </c>
      <c r="P126" s="36">
        <f t="shared" si="15"/>
        <v>1874.9</v>
      </c>
      <c r="Q126" s="7">
        <f t="shared" si="29"/>
        <v>0</v>
      </c>
      <c r="R126" s="36">
        <f t="shared" si="16"/>
        <v>1874.9</v>
      </c>
    </row>
    <row r="127" spans="1:18" ht="55.5" customHeight="1">
      <c r="A127" s="62" t="str">
        <f ca="1">IF(ISERROR(MATCH(E127,Код_КВР,0)),"",INDIRECT(ADDRESS(MATCH(E127,Код_КВР,0)+1,2,,,"КВР")))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7" s="44" t="s">
        <v>445</v>
      </c>
      <c r="C127" s="8" t="s">
        <v>203</v>
      </c>
      <c r="D127" s="1" t="s">
        <v>227</v>
      </c>
      <c r="E127" s="115">
        <v>611</v>
      </c>
      <c r="F127" s="7">
        <f>'прил.5'!G721</f>
        <v>0</v>
      </c>
      <c r="G127" s="7">
        <f>'прил.5'!H721</f>
        <v>0</v>
      </c>
      <c r="H127" s="7">
        <f>'прил.5'!I721</f>
        <v>0</v>
      </c>
      <c r="I127" s="7">
        <f>'прил.5'!J721</f>
        <v>1874.9</v>
      </c>
      <c r="J127" s="36">
        <f t="shared" si="21"/>
        <v>1874.9</v>
      </c>
      <c r="K127" s="7">
        <f>'прил.5'!L721</f>
        <v>0</v>
      </c>
      <c r="L127" s="36">
        <f t="shared" si="18"/>
        <v>1874.9</v>
      </c>
      <c r="M127" s="7">
        <f>'прил.5'!N721</f>
        <v>0</v>
      </c>
      <c r="N127" s="36">
        <f t="shared" si="19"/>
        <v>1874.9</v>
      </c>
      <c r="O127" s="7">
        <f>'прил.5'!P721</f>
        <v>0</v>
      </c>
      <c r="P127" s="36">
        <f t="shared" si="15"/>
        <v>1874.9</v>
      </c>
      <c r="Q127" s="7">
        <f>'прил.5'!R721</f>
        <v>0</v>
      </c>
      <c r="R127" s="36">
        <f t="shared" si="16"/>
        <v>1874.9</v>
      </c>
    </row>
    <row r="128" spans="1:18" ht="30.75" customHeight="1">
      <c r="A128" s="62" t="str">
        <f ca="1">IF(ISERROR(MATCH(E128,Код_КВР,0)),"",INDIRECT(ADDRESS(MATCH(E128,Код_КВР,0)+1,2,,,"КВР")))</f>
        <v>Субсидии автономным учреждениям</v>
      </c>
      <c r="B128" s="44" t="s">
        <v>445</v>
      </c>
      <c r="C128" s="8" t="s">
        <v>203</v>
      </c>
      <c r="D128" s="1" t="s">
        <v>227</v>
      </c>
      <c r="E128" s="115">
        <v>620</v>
      </c>
      <c r="F128" s="7"/>
      <c r="G128" s="7"/>
      <c r="H128" s="7"/>
      <c r="I128" s="7">
        <f>I129</f>
        <v>5298.1</v>
      </c>
      <c r="J128" s="36">
        <f t="shared" si="21"/>
        <v>5298.1</v>
      </c>
      <c r="K128" s="7">
        <f>K129</f>
        <v>0</v>
      </c>
      <c r="L128" s="36">
        <f t="shared" si="18"/>
        <v>5298.1</v>
      </c>
      <c r="M128" s="7">
        <f>M129</f>
        <v>0</v>
      </c>
      <c r="N128" s="36">
        <f t="shared" si="19"/>
        <v>5298.1</v>
      </c>
      <c r="O128" s="7">
        <f>O129</f>
        <v>0</v>
      </c>
      <c r="P128" s="36">
        <f t="shared" si="15"/>
        <v>5298.1</v>
      </c>
      <c r="Q128" s="7">
        <f>Q129</f>
        <v>0</v>
      </c>
      <c r="R128" s="36">
        <f t="shared" si="16"/>
        <v>5298.1</v>
      </c>
    </row>
    <row r="129" spans="1:18" ht="55.5" customHeight="1">
      <c r="A129" s="62" t="str">
        <f ca="1">IF(ISERROR(MATCH(E129,Код_КВР,0)),"",INDIRECT(ADDRESS(MATCH(E129,Код_КВР,0)+1,2,,,"КВР")))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9" s="44" t="s">
        <v>445</v>
      </c>
      <c r="C129" s="8" t="s">
        <v>203</v>
      </c>
      <c r="D129" s="1" t="s">
        <v>227</v>
      </c>
      <c r="E129" s="115">
        <v>621</v>
      </c>
      <c r="F129" s="7"/>
      <c r="G129" s="7"/>
      <c r="H129" s="7"/>
      <c r="I129" s="7">
        <f>'прил.5'!J723</f>
        <v>5298.1</v>
      </c>
      <c r="J129" s="36">
        <f t="shared" si="21"/>
        <v>5298.1</v>
      </c>
      <c r="K129" s="7">
        <f>'прил.5'!L723</f>
        <v>0</v>
      </c>
      <c r="L129" s="36">
        <f t="shared" si="18"/>
        <v>5298.1</v>
      </c>
      <c r="M129" s="7">
        <f>'прил.5'!N723</f>
        <v>0</v>
      </c>
      <c r="N129" s="36">
        <f t="shared" si="19"/>
        <v>5298.1</v>
      </c>
      <c r="O129" s="7">
        <f>'прил.5'!P723</f>
        <v>0</v>
      </c>
      <c r="P129" s="36">
        <f t="shared" si="15"/>
        <v>5298.1</v>
      </c>
      <c r="Q129" s="7">
        <f>'прил.5'!R723</f>
        <v>0</v>
      </c>
      <c r="R129" s="36">
        <f t="shared" si="16"/>
        <v>5298.1</v>
      </c>
    </row>
    <row r="130" spans="1:18" ht="20.25" customHeight="1">
      <c r="A130" s="62" t="str">
        <f ca="1">IF(ISERROR(MATCH(B130,Код_КЦСР,0)),"",INDIRECT(ADDRESS(MATCH(B130,Код_КЦСР,0)+1,2,,,"КЦСР")))</f>
        <v>Дополнительное образование</v>
      </c>
      <c r="B130" s="44" t="s">
        <v>293</v>
      </c>
      <c r="C130" s="8"/>
      <c r="D130" s="1"/>
      <c r="E130" s="115"/>
      <c r="F130" s="7">
        <f>F131+F137+F143</f>
        <v>90338.2</v>
      </c>
      <c r="G130" s="7">
        <f>G131+G137+G143</f>
        <v>0</v>
      </c>
      <c r="H130" s="36">
        <f t="shared" si="22"/>
        <v>90338.2</v>
      </c>
      <c r="I130" s="7">
        <f>I131+I137+I143</f>
        <v>0</v>
      </c>
      <c r="J130" s="36">
        <f t="shared" si="21"/>
        <v>90338.2</v>
      </c>
      <c r="K130" s="7">
        <f>K131+K137+K143</f>
        <v>-77</v>
      </c>
      <c r="L130" s="36">
        <f t="shared" si="18"/>
        <v>90261.2</v>
      </c>
      <c r="M130" s="7">
        <f>M131+M137+M143</f>
        <v>0</v>
      </c>
      <c r="N130" s="36">
        <f t="shared" si="19"/>
        <v>90261.2</v>
      </c>
      <c r="O130" s="7">
        <f>O131+O137+O143</f>
        <v>0</v>
      </c>
      <c r="P130" s="36">
        <f t="shared" si="15"/>
        <v>90261.2</v>
      </c>
      <c r="Q130" s="7">
        <f>Q131+Q137+Q143</f>
        <v>0</v>
      </c>
      <c r="R130" s="36">
        <f t="shared" si="16"/>
        <v>90261.2</v>
      </c>
    </row>
    <row r="131" spans="1:18" ht="19.5" customHeight="1">
      <c r="A131" s="62" t="str">
        <f ca="1">IF(ISERROR(MATCH(B131,Код_КЦСР,0)),"",INDIRECT(ADDRESS(MATCH(B131,Код_КЦСР,0)+1,2,,,"КЦСР")))</f>
        <v xml:space="preserve">Организация предоставления дополнительного образования детям </v>
      </c>
      <c r="B131" s="44" t="s">
        <v>295</v>
      </c>
      <c r="C131" s="8"/>
      <c r="D131" s="1"/>
      <c r="E131" s="115"/>
      <c r="F131" s="7">
        <f aca="true" t="shared" si="30" ref="F131:Q135">F132</f>
        <v>88222.7</v>
      </c>
      <c r="G131" s="7">
        <f t="shared" si="30"/>
        <v>0</v>
      </c>
      <c r="H131" s="36">
        <f t="shared" si="22"/>
        <v>88222.7</v>
      </c>
      <c r="I131" s="7">
        <f t="shared" si="30"/>
        <v>0</v>
      </c>
      <c r="J131" s="36">
        <f t="shared" si="21"/>
        <v>88222.7</v>
      </c>
      <c r="K131" s="7">
        <f t="shared" si="30"/>
        <v>-77</v>
      </c>
      <c r="L131" s="36">
        <f t="shared" si="18"/>
        <v>88145.7</v>
      </c>
      <c r="M131" s="7">
        <f t="shared" si="30"/>
        <v>0</v>
      </c>
      <c r="N131" s="36">
        <f t="shared" si="19"/>
        <v>88145.7</v>
      </c>
      <c r="O131" s="7">
        <f t="shared" si="30"/>
        <v>0</v>
      </c>
      <c r="P131" s="36">
        <f t="shared" si="15"/>
        <v>88145.7</v>
      </c>
      <c r="Q131" s="7">
        <f t="shared" si="30"/>
        <v>0</v>
      </c>
      <c r="R131" s="36">
        <f t="shared" si="16"/>
        <v>88145.7</v>
      </c>
    </row>
    <row r="132" spans="1:18" ht="21" customHeight="1">
      <c r="A132" s="62" t="str">
        <f ca="1">IF(ISERROR(MATCH(C132,Код_Раздел,0)),"",INDIRECT(ADDRESS(MATCH(C132,Код_Раздел,0)+1,2,,,"Раздел")))</f>
        <v>Образование</v>
      </c>
      <c r="B132" s="44" t="s">
        <v>295</v>
      </c>
      <c r="C132" s="8" t="s">
        <v>203</v>
      </c>
      <c r="D132" s="1"/>
      <c r="E132" s="115"/>
      <c r="F132" s="7">
        <f t="shared" si="30"/>
        <v>88222.7</v>
      </c>
      <c r="G132" s="7">
        <f t="shared" si="30"/>
        <v>0</v>
      </c>
      <c r="H132" s="36">
        <f t="shared" si="22"/>
        <v>88222.7</v>
      </c>
      <c r="I132" s="7">
        <f t="shared" si="30"/>
        <v>0</v>
      </c>
      <c r="J132" s="36">
        <f t="shared" si="21"/>
        <v>88222.7</v>
      </c>
      <c r="K132" s="7">
        <f t="shared" si="30"/>
        <v>-77</v>
      </c>
      <c r="L132" s="36">
        <f t="shared" si="18"/>
        <v>88145.7</v>
      </c>
      <c r="M132" s="7">
        <f t="shared" si="30"/>
        <v>0</v>
      </c>
      <c r="N132" s="36">
        <f t="shared" si="19"/>
        <v>88145.7</v>
      </c>
      <c r="O132" s="7">
        <f t="shared" si="30"/>
        <v>0</v>
      </c>
      <c r="P132" s="36">
        <f t="shared" si="15"/>
        <v>88145.7</v>
      </c>
      <c r="Q132" s="7">
        <f t="shared" si="30"/>
        <v>0</v>
      </c>
      <c r="R132" s="36">
        <f t="shared" si="16"/>
        <v>88145.7</v>
      </c>
    </row>
    <row r="133" spans="1:18" ht="20.25" customHeight="1">
      <c r="A133" s="12" t="s">
        <v>258</v>
      </c>
      <c r="B133" s="44" t="s">
        <v>295</v>
      </c>
      <c r="C133" s="8" t="s">
        <v>203</v>
      </c>
      <c r="D133" s="1" t="s">
        <v>222</v>
      </c>
      <c r="E133" s="115"/>
      <c r="F133" s="7">
        <f t="shared" si="30"/>
        <v>88222.7</v>
      </c>
      <c r="G133" s="7">
        <f t="shared" si="30"/>
        <v>0</v>
      </c>
      <c r="H133" s="36">
        <f t="shared" si="22"/>
        <v>88222.7</v>
      </c>
      <c r="I133" s="7">
        <f t="shared" si="30"/>
        <v>0</v>
      </c>
      <c r="J133" s="36">
        <f t="shared" si="21"/>
        <v>88222.7</v>
      </c>
      <c r="K133" s="7">
        <f t="shared" si="30"/>
        <v>-77</v>
      </c>
      <c r="L133" s="36">
        <f t="shared" si="18"/>
        <v>88145.7</v>
      </c>
      <c r="M133" s="7">
        <f t="shared" si="30"/>
        <v>0</v>
      </c>
      <c r="N133" s="36">
        <f t="shared" si="19"/>
        <v>88145.7</v>
      </c>
      <c r="O133" s="7">
        <f t="shared" si="30"/>
        <v>0</v>
      </c>
      <c r="P133" s="36">
        <f t="shared" si="15"/>
        <v>88145.7</v>
      </c>
      <c r="Q133" s="7">
        <f t="shared" si="30"/>
        <v>0</v>
      </c>
      <c r="R133" s="36">
        <f t="shared" si="16"/>
        <v>88145.7</v>
      </c>
    </row>
    <row r="134" spans="1:18" ht="36.75" customHeight="1">
      <c r="A134" s="62" t="str">
        <f ca="1">IF(ISERROR(MATCH(E134,Код_КВР,0)),"",INDIRECT(ADDRESS(MATCH(E134,Код_КВР,0)+1,2,,,"КВР")))</f>
        <v>Предоставление субсидий бюджетным, автономным учреждениям и иным некоммерческим организациям</v>
      </c>
      <c r="B134" s="44" t="s">
        <v>295</v>
      </c>
      <c r="C134" s="8" t="s">
        <v>203</v>
      </c>
      <c r="D134" s="1" t="s">
        <v>222</v>
      </c>
      <c r="E134" s="115">
        <v>600</v>
      </c>
      <c r="F134" s="7">
        <f t="shared" si="30"/>
        <v>88222.7</v>
      </c>
      <c r="G134" s="7">
        <f t="shared" si="30"/>
        <v>0</v>
      </c>
      <c r="H134" s="36">
        <f t="shared" si="22"/>
        <v>88222.7</v>
      </c>
      <c r="I134" s="7">
        <f t="shared" si="30"/>
        <v>0</v>
      </c>
      <c r="J134" s="36">
        <f t="shared" si="21"/>
        <v>88222.7</v>
      </c>
      <c r="K134" s="7">
        <f t="shared" si="30"/>
        <v>-77</v>
      </c>
      <c r="L134" s="36">
        <f t="shared" si="18"/>
        <v>88145.7</v>
      </c>
      <c r="M134" s="7">
        <f t="shared" si="30"/>
        <v>0</v>
      </c>
      <c r="N134" s="36">
        <f t="shared" si="19"/>
        <v>88145.7</v>
      </c>
      <c r="O134" s="7">
        <f t="shared" si="30"/>
        <v>0</v>
      </c>
      <c r="P134" s="36">
        <f t="shared" si="15"/>
        <v>88145.7</v>
      </c>
      <c r="Q134" s="7">
        <f t="shared" si="30"/>
        <v>0</v>
      </c>
      <c r="R134" s="36">
        <f t="shared" si="16"/>
        <v>88145.7</v>
      </c>
    </row>
    <row r="135" spans="1:18" ht="19.5" customHeight="1">
      <c r="A135" s="62" t="str">
        <f ca="1">IF(ISERROR(MATCH(E135,Код_КВР,0)),"",INDIRECT(ADDRESS(MATCH(E135,Код_КВР,0)+1,2,,,"КВР")))</f>
        <v>Субсидии бюджетным учреждениям</v>
      </c>
      <c r="B135" s="44" t="s">
        <v>295</v>
      </c>
      <c r="C135" s="8" t="s">
        <v>203</v>
      </c>
      <c r="D135" s="1" t="s">
        <v>222</v>
      </c>
      <c r="E135" s="115">
        <v>610</v>
      </c>
      <c r="F135" s="7">
        <f t="shared" si="30"/>
        <v>88222.7</v>
      </c>
      <c r="G135" s="7">
        <f t="shared" si="30"/>
        <v>0</v>
      </c>
      <c r="H135" s="36">
        <f t="shared" si="22"/>
        <v>88222.7</v>
      </c>
      <c r="I135" s="7">
        <f t="shared" si="30"/>
        <v>0</v>
      </c>
      <c r="J135" s="36">
        <f t="shared" si="21"/>
        <v>88222.7</v>
      </c>
      <c r="K135" s="7">
        <f t="shared" si="30"/>
        <v>-77</v>
      </c>
      <c r="L135" s="36">
        <f t="shared" si="18"/>
        <v>88145.7</v>
      </c>
      <c r="M135" s="7">
        <f t="shared" si="30"/>
        <v>0</v>
      </c>
      <c r="N135" s="36">
        <f t="shared" si="19"/>
        <v>88145.7</v>
      </c>
      <c r="O135" s="7">
        <f t="shared" si="30"/>
        <v>0</v>
      </c>
      <c r="P135" s="36">
        <f t="shared" si="15"/>
        <v>88145.7</v>
      </c>
      <c r="Q135" s="7">
        <f t="shared" si="30"/>
        <v>0</v>
      </c>
      <c r="R135" s="36">
        <f t="shared" si="16"/>
        <v>88145.7</v>
      </c>
    </row>
    <row r="136" spans="1:18" ht="53.25" customHeight="1">
      <c r="A136" s="62" t="str">
        <f ca="1">IF(ISERROR(MATCH(E136,Код_КВР,0)),"",INDIRECT(ADDRESS(MATCH(E136,Код_КВР,0)+1,2,,,"КВР")))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6" s="44" t="s">
        <v>295</v>
      </c>
      <c r="C136" s="8" t="s">
        <v>203</v>
      </c>
      <c r="D136" s="1" t="s">
        <v>222</v>
      </c>
      <c r="E136" s="115">
        <v>611</v>
      </c>
      <c r="F136" s="7">
        <f>'прил.5'!G654</f>
        <v>88222.7</v>
      </c>
      <c r="G136" s="7">
        <f>'прил.5'!H654</f>
        <v>0</v>
      </c>
      <c r="H136" s="36">
        <f t="shared" si="22"/>
        <v>88222.7</v>
      </c>
      <c r="I136" s="7">
        <f>'прил.5'!J654</f>
        <v>0</v>
      </c>
      <c r="J136" s="36">
        <f t="shared" si="21"/>
        <v>88222.7</v>
      </c>
      <c r="K136" s="7">
        <f>'прил.5'!L654</f>
        <v>-77</v>
      </c>
      <c r="L136" s="36">
        <f t="shared" si="18"/>
        <v>88145.7</v>
      </c>
      <c r="M136" s="7">
        <f>'прил.5'!N654</f>
        <v>0</v>
      </c>
      <c r="N136" s="36">
        <f t="shared" si="19"/>
        <v>88145.7</v>
      </c>
      <c r="O136" s="7">
        <f>'прил.5'!P654</f>
        <v>0</v>
      </c>
      <c r="P136" s="36">
        <f t="shared" si="15"/>
        <v>88145.7</v>
      </c>
      <c r="Q136" s="7">
        <f>'прил.5'!R654</f>
        <v>0</v>
      </c>
      <c r="R136" s="36">
        <f t="shared" si="16"/>
        <v>88145.7</v>
      </c>
    </row>
    <row r="137" spans="1:18" ht="53.25" customHeight="1">
      <c r="A137" s="62" t="str">
        <f ca="1">IF(ISERROR(MATCH(B137,Код_КЦСР,0)),"",INDIRECT(ADDRESS(MATCH(B137,Код_КЦСР,0)+1,2,,,"КЦСР")))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37" s="44" t="s">
        <v>297</v>
      </c>
      <c r="C137" s="8"/>
      <c r="D137" s="1"/>
      <c r="E137" s="115"/>
      <c r="F137" s="7">
        <f aca="true" t="shared" si="31" ref="F137:Q141">F138</f>
        <v>258</v>
      </c>
      <c r="G137" s="7">
        <f t="shared" si="31"/>
        <v>0</v>
      </c>
      <c r="H137" s="36">
        <f t="shared" si="22"/>
        <v>258</v>
      </c>
      <c r="I137" s="7">
        <f t="shared" si="31"/>
        <v>0</v>
      </c>
      <c r="J137" s="36">
        <f t="shared" si="21"/>
        <v>258</v>
      </c>
      <c r="K137" s="7">
        <f t="shared" si="31"/>
        <v>0</v>
      </c>
      <c r="L137" s="36">
        <f t="shared" si="18"/>
        <v>258</v>
      </c>
      <c r="M137" s="7">
        <f t="shared" si="31"/>
        <v>0</v>
      </c>
      <c r="N137" s="36">
        <f t="shared" si="19"/>
        <v>258</v>
      </c>
      <c r="O137" s="7">
        <f t="shared" si="31"/>
        <v>0</v>
      </c>
      <c r="P137" s="36">
        <f t="shared" si="15"/>
        <v>258</v>
      </c>
      <c r="Q137" s="7">
        <f t="shared" si="31"/>
        <v>0</v>
      </c>
      <c r="R137" s="36">
        <f t="shared" si="16"/>
        <v>258</v>
      </c>
    </row>
    <row r="138" spans="1:18" ht="12.75">
      <c r="A138" s="62" t="str">
        <f ca="1">IF(ISERROR(MATCH(C138,Код_Раздел,0)),"",INDIRECT(ADDRESS(MATCH(C138,Код_Раздел,0)+1,2,,,"Раздел")))</f>
        <v>Образование</v>
      </c>
      <c r="B138" s="44" t="s">
        <v>297</v>
      </c>
      <c r="C138" s="8" t="s">
        <v>203</v>
      </c>
      <c r="D138" s="1"/>
      <c r="E138" s="115"/>
      <c r="F138" s="7">
        <f t="shared" si="31"/>
        <v>258</v>
      </c>
      <c r="G138" s="7">
        <f t="shared" si="31"/>
        <v>0</v>
      </c>
      <c r="H138" s="36">
        <f t="shared" si="22"/>
        <v>258</v>
      </c>
      <c r="I138" s="7">
        <f t="shared" si="31"/>
        <v>0</v>
      </c>
      <c r="J138" s="36">
        <f t="shared" si="21"/>
        <v>258</v>
      </c>
      <c r="K138" s="7">
        <f t="shared" si="31"/>
        <v>0</v>
      </c>
      <c r="L138" s="36">
        <f t="shared" si="18"/>
        <v>258</v>
      </c>
      <c r="M138" s="7">
        <f t="shared" si="31"/>
        <v>0</v>
      </c>
      <c r="N138" s="36">
        <f t="shared" si="19"/>
        <v>258</v>
      </c>
      <c r="O138" s="7">
        <f t="shared" si="31"/>
        <v>0</v>
      </c>
      <c r="P138" s="36">
        <f t="shared" si="15"/>
        <v>258</v>
      </c>
      <c r="Q138" s="7">
        <f t="shared" si="31"/>
        <v>0</v>
      </c>
      <c r="R138" s="36">
        <f t="shared" si="16"/>
        <v>258</v>
      </c>
    </row>
    <row r="139" spans="1:18" ht="12.75">
      <c r="A139" s="12" t="s">
        <v>259</v>
      </c>
      <c r="B139" s="44" t="s">
        <v>297</v>
      </c>
      <c r="C139" s="8" t="s">
        <v>203</v>
      </c>
      <c r="D139" s="1" t="s">
        <v>227</v>
      </c>
      <c r="E139" s="115"/>
      <c r="F139" s="7">
        <f t="shared" si="31"/>
        <v>258</v>
      </c>
      <c r="G139" s="7">
        <f t="shared" si="31"/>
        <v>0</v>
      </c>
      <c r="H139" s="36">
        <f t="shared" si="22"/>
        <v>258</v>
      </c>
      <c r="I139" s="7">
        <f t="shared" si="31"/>
        <v>0</v>
      </c>
      <c r="J139" s="36">
        <f t="shared" si="21"/>
        <v>258</v>
      </c>
      <c r="K139" s="7">
        <f t="shared" si="31"/>
        <v>0</v>
      </c>
      <c r="L139" s="36">
        <f t="shared" si="18"/>
        <v>258</v>
      </c>
      <c r="M139" s="7">
        <f t="shared" si="31"/>
        <v>0</v>
      </c>
      <c r="N139" s="36">
        <f t="shared" si="19"/>
        <v>258</v>
      </c>
      <c r="O139" s="7">
        <f t="shared" si="31"/>
        <v>0</v>
      </c>
      <c r="P139" s="36">
        <f t="shared" si="15"/>
        <v>258</v>
      </c>
      <c r="Q139" s="7">
        <f t="shared" si="31"/>
        <v>0</v>
      </c>
      <c r="R139" s="36">
        <f t="shared" si="16"/>
        <v>258</v>
      </c>
    </row>
    <row r="140" spans="1:18" ht="33">
      <c r="A140" s="62" t="str">
        <f ca="1">IF(ISERROR(MATCH(E140,Код_КВР,0)),"",INDIRECT(ADDRESS(MATCH(E140,Код_КВР,0)+1,2,,,"КВР")))</f>
        <v>Предоставление субсидий бюджетным, автономным учреждениям и иным некоммерческим организациям</v>
      </c>
      <c r="B140" s="44" t="s">
        <v>297</v>
      </c>
      <c r="C140" s="8" t="s">
        <v>203</v>
      </c>
      <c r="D140" s="1" t="s">
        <v>227</v>
      </c>
      <c r="E140" s="115">
        <v>600</v>
      </c>
      <c r="F140" s="7">
        <f t="shared" si="31"/>
        <v>258</v>
      </c>
      <c r="G140" s="7">
        <f t="shared" si="31"/>
        <v>0</v>
      </c>
      <c r="H140" s="36">
        <f t="shared" si="22"/>
        <v>258</v>
      </c>
      <c r="I140" s="7">
        <f t="shared" si="31"/>
        <v>0</v>
      </c>
      <c r="J140" s="36">
        <f t="shared" si="21"/>
        <v>258</v>
      </c>
      <c r="K140" s="7">
        <f t="shared" si="31"/>
        <v>0</v>
      </c>
      <c r="L140" s="36">
        <f t="shared" si="18"/>
        <v>258</v>
      </c>
      <c r="M140" s="7">
        <f t="shared" si="31"/>
        <v>0</v>
      </c>
      <c r="N140" s="36">
        <f t="shared" si="19"/>
        <v>258</v>
      </c>
      <c r="O140" s="7">
        <f t="shared" si="31"/>
        <v>0</v>
      </c>
      <c r="P140" s="36">
        <f t="shared" si="15"/>
        <v>258</v>
      </c>
      <c r="Q140" s="7">
        <f t="shared" si="31"/>
        <v>0</v>
      </c>
      <c r="R140" s="36">
        <f t="shared" si="16"/>
        <v>258</v>
      </c>
    </row>
    <row r="141" spans="1:18" ht="21" customHeight="1">
      <c r="A141" s="62" t="str">
        <f ca="1">IF(ISERROR(MATCH(E141,Код_КВР,0)),"",INDIRECT(ADDRESS(MATCH(E141,Код_КВР,0)+1,2,,,"КВР")))</f>
        <v>Субсидии бюджетным учреждениям</v>
      </c>
      <c r="B141" s="44" t="s">
        <v>297</v>
      </c>
      <c r="C141" s="8" t="s">
        <v>203</v>
      </c>
      <c r="D141" s="1" t="s">
        <v>227</v>
      </c>
      <c r="E141" s="115">
        <v>610</v>
      </c>
      <c r="F141" s="7">
        <f t="shared" si="31"/>
        <v>258</v>
      </c>
      <c r="G141" s="7">
        <f t="shared" si="31"/>
        <v>0</v>
      </c>
      <c r="H141" s="36">
        <f t="shared" si="22"/>
        <v>258</v>
      </c>
      <c r="I141" s="7">
        <f t="shared" si="31"/>
        <v>0</v>
      </c>
      <c r="J141" s="36">
        <f t="shared" si="21"/>
        <v>258</v>
      </c>
      <c r="K141" s="7">
        <f t="shared" si="31"/>
        <v>0</v>
      </c>
      <c r="L141" s="36">
        <f t="shared" si="18"/>
        <v>258</v>
      </c>
      <c r="M141" s="7">
        <f t="shared" si="31"/>
        <v>0</v>
      </c>
      <c r="N141" s="36">
        <f t="shared" si="19"/>
        <v>258</v>
      </c>
      <c r="O141" s="7">
        <f t="shared" si="31"/>
        <v>0</v>
      </c>
      <c r="P141" s="36">
        <f t="shared" si="15"/>
        <v>258</v>
      </c>
      <c r="Q141" s="7">
        <f t="shared" si="31"/>
        <v>0</v>
      </c>
      <c r="R141" s="36">
        <f t="shared" si="16"/>
        <v>258</v>
      </c>
    </row>
    <row r="142" spans="1:18" ht="54" customHeight="1">
      <c r="A142" s="62" t="str">
        <f ca="1">IF(ISERROR(MATCH(E142,Код_КВР,0)),"",INDIRECT(ADDRESS(MATCH(E142,Код_КВР,0)+1,2,,,"КВР")))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42" s="44" t="s">
        <v>297</v>
      </c>
      <c r="C142" s="8" t="s">
        <v>203</v>
      </c>
      <c r="D142" s="1" t="s">
        <v>227</v>
      </c>
      <c r="E142" s="115">
        <v>611</v>
      </c>
      <c r="F142" s="7">
        <f>'прил.5'!G728</f>
        <v>258</v>
      </c>
      <c r="G142" s="7">
        <f>'прил.5'!H728</f>
        <v>0</v>
      </c>
      <c r="H142" s="36">
        <f t="shared" si="22"/>
        <v>258</v>
      </c>
      <c r="I142" s="7">
        <f>'прил.5'!J728</f>
        <v>0</v>
      </c>
      <c r="J142" s="36">
        <f t="shared" si="21"/>
        <v>258</v>
      </c>
      <c r="K142" s="7">
        <f>'прил.5'!L728</f>
        <v>0</v>
      </c>
      <c r="L142" s="36">
        <f t="shared" si="18"/>
        <v>258</v>
      </c>
      <c r="M142" s="7">
        <f>'прил.5'!N728</f>
        <v>0</v>
      </c>
      <c r="N142" s="36">
        <f t="shared" si="19"/>
        <v>258</v>
      </c>
      <c r="O142" s="7">
        <f>'прил.5'!P728</f>
        <v>0</v>
      </c>
      <c r="P142" s="36">
        <f t="shared" si="15"/>
        <v>258</v>
      </c>
      <c r="Q142" s="7">
        <f>'прил.5'!R728</f>
        <v>0</v>
      </c>
      <c r="R142" s="36">
        <f t="shared" si="16"/>
        <v>258</v>
      </c>
    </row>
    <row r="143" spans="1:18" ht="87.75" customHeight="1">
      <c r="A143" s="62" t="str">
        <f ca="1">IF(ISERROR(MATCH(B143,Код_КЦСР,0)),"",INDIRECT(ADDRESS(MATCH(B143,Код_КЦСР,0)+1,2,,,"КЦСР")))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43" s="44" t="s">
        <v>111</v>
      </c>
      <c r="C143" s="8"/>
      <c r="D143" s="1"/>
      <c r="E143" s="115"/>
      <c r="F143" s="7">
        <f aca="true" t="shared" si="32" ref="F143:Q147">F144</f>
        <v>1857.5</v>
      </c>
      <c r="G143" s="7">
        <f t="shared" si="32"/>
        <v>0</v>
      </c>
      <c r="H143" s="36">
        <f t="shared" si="22"/>
        <v>1857.5</v>
      </c>
      <c r="I143" s="7">
        <f t="shared" si="32"/>
        <v>0</v>
      </c>
      <c r="J143" s="36">
        <f t="shared" si="21"/>
        <v>1857.5</v>
      </c>
      <c r="K143" s="7">
        <f t="shared" si="32"/>
        <v>0</v>
      </c>
      <c r="L143" s="36">
        <f t="shared" si="18"/>
        <v>1857.5</v>
      </c>
      <c r="M143" s="7">
        <f t="shared" si="32"/>
        <v>0</v>
      </c>
      <c r="N143" s="36">
        <f t="shared" si="19"/>
        <v>1857.5</v>
      </c>
      <c r="O143" s="7">
        <f t="shared" si="32"/>
        <v>0</v>
      </c>
      <c r="P143" s="36">
        <f t="shared" si="15"/>
        <v>1857.5</v>
      </c>
      <c r="Q143" s="7">
        <f t="shared" si="32"/>
        <v>0</v>
      </c>
      <c r="R143" s="36">
        <f t="shared" si="16"/>
        <v>1857.5</v>
      </c>
    </row>
    <row r="144" spans="1:18" ht="18.75" customHeight="1">
      <c r="A144" s="62" t="str">
        <f ca="1">IF(ISERROR(MATCH(C144,Код_Раздел,0)),"",INDIRECT(ADDRESS(MATCH(C144,Код_Раздел,0)+1,2,,,"Раздел")))</f>
        <v>Образование</v>
      </c>
      <c r="B144" s="44" t="s">
        <v>111</v>
      </c>
      <c r="C144" s="8" t="s">
        <v>203</v>
      </c>
      <c r="D144" s="1"/>
      <c r="E144" s="115"/>
      <c r="F144" s="7">
        <f t="shared" si="32"/>
        <v>1857.5</v>
      </c>
      <c r="G144" s="7">
        <f t="shared" si="32"/>
        <v>0</v>
      </c>
      <c r="H144" s="36">
        <f t="shared" si="22"/>
        <v>1857.5</v>
      </c>
      <c r="I144" s="7">
        <f t="shared" si="32"/>
        <v>0</v>
      </c>
      <c r="J144" s="36">
        <f t="shared" si="21"/>
        <v>1857.5</v>
      </c>
      <c r="K144" s="7">
        <f t="shared" si="32"/>
        <v>0</v>
      </c>
      <c r="L144" s="36">
        <f t="shared" si="18"/>
        <v>1857.5</v>
      </c>
      <c r="M144" s="7">
        <f t="shared" si="32"/>
        <v>0</v>
      </c>
      <c r="N144" s="36">
        <f t="shared" si="19"/>
        <v>1857.5</v>
      </c>
      <c r="O144" s="7">
        <f t="shared" si="32"/>
        <v>0</v>
      </c>
      <c r="P144" s="36">
        <f t="shared" si="15"/>
        <v>1857.5</v>
      </c>
      <c r="Q144" s="7">
        <f t="shared" si="32"/>
        <v>0</v>
      </c>
      <c r="R144" s="36">
        <f t="shared" si="16"/>
        <v>1857.5</v>
      </c>
    </row>
    <row r="145" spans="1:18" ht="21" customHeight="1">
      <c r="A145" s="12" t="s">
        <v>258</v>
      </c>
      <c r="B145" s="44" t="s">
        <v>111</v>
      </c>
      <c r="C145" s="8" t="s">
        <v>203</v>
      </c>
      <c r="D145" s="1" t="s">
        <v>222</v>
      </c>
      <c r="E145" s="115"/>
      <c r="F145" s="7">
        <f t="shared" si="32"/>
        <v>1857.5</v>
      </c>
      <c r="G145" s="7">
        <f t="shared" si="32"/>
        <v>0</v>
      </c>
      <c r="H145" s="36">
        <f t="shared" si="22"/>
        <v>1857.5</v>
      </c>
      <c r="I145" s="7">
        <f t="shared" si="32"/>
        <v>0</v>
      </c>
      <c r="J145" s="36">
        <f t="shared" si="21"/>
        <v>1857.5</v>
      </c>
      <c r="K145" s="7">
        <f t="shared" si="32"/>
        <v>0</v>
      </c>
      <c r="L145" s="36">
        <f t="shared" si="18"/>
        <v>1857.5</v>
      </c>
      <c r="M145" s="7">
        <f t="shared" si="32"/>
        <v>0</v>
      </c>
      <c r="N145" s="36">
        <f t="shared" si="19"/>
        <v>1857.5</v>
      </c>
      <c r="O145" s="7">
        <f t="shared" si="32"/>
        <v>0</v>
      </c>
      <c r="P145" s="36">
        <f t="shared" si="15"/>
        <v>1857.5</v>
      </c>
      <c r="Q145" s="7">
        <f t="shared" si="32"/>
        <v>0</v>
      </c>
      <c r="R145" s="36">
        <f t="shared" si="16"/>
        <v>1857.5</v>
      </c>
    </row>
    <row r="146" spans="1:18" ht="39" customHeight="1">
      <c r="A146" s="62" t="str">
        <f ca="1">IF(ISERROR(MATCH(E146,Код_КВР,0)),"",INDIRECT(ADDRESS(MATCH(E146,Код_КВР,0)+1,2,,,"КВР")))</f>
        <v>Предоставление субсидий бюджетным, автономным учреждениям и иным некоммерческим организациям</v>
      </c>
      <c r="B146" s="44" t="s">
        <v>111</v>
      </c>
      <c r="C146" s="8" t="s">
        <v>203</v>
      </c>
      <c r="D146" s="1" t="s">
        <v>222</v>
      </c>
      <c r="E146" s="115">
        <v>600</v>
      </c>
      <c r="F146" s="7">
        <f t="shared" si="32"/>
        <v>1857.5</v>
      </c>
      <c r="G146" s="7">
        <f t="shared" si="32"/>
        <v>0</v>
      </c>
      <c r="H146" s="36">
        <f t="shared" si="22"/>
        <v>1857.5</v>
      </c>
      <c r="I146" s="7">
        <f t="shared" si="32"/>
        <v>0</v>
      </c>
      <c r="J146" s="36">
        <f t="shared" si="21"/>
        <v>1857.5</v>
      </c>
      <c r="K146" s="7">
        <f t="shared" si="32"/>
        <v>0</v>
      </c>
      <c r="L146" s="36">
        <f t="shared" si="18"/>
        <v>1857.5</v>
      </c>
      <c r="M146" s="7">
        <f t="shared" si="32"/>
        <v>0</v>
      </c>
      <c r="N146" s="36">
        <f t="shared" si="19"/>
        <v>1857.5</v>
      </c>
      <c r="O146" s="7">
        <f t="shared" si="32"/>
        <v>0</v>
      </c>
      <c r="P146" s="36">
        <f t="shared" si="15"/>
        <v>1857.5</v>
      </c>
      <c r="Q146" s="7">
        <f t="shared" si="32"/>
        <v>0</v>
      </c>
      <c r="R146" s="36">
        <f t="shared" si="16"/>
        <v>1857.5</v>
      </c>
    </row>
    <row r="147" spans="1:18" ht="22.5" customHeight="1">
      <c r="A147" s="62" t="str">
        <f ca="1">IF(ISERROR(MATCH(E147,Код_КВР,0)),"",INDIRECT(ADDRESS(MATCH(E147,Код_КВР,0)+1,2,,,"КВР")))</f>
        <v>Субсидии бюджетным учреждениям</v>
      </c>
      <c r="B147" s="44" t="s">
        <v>111</v>
      </c>
      <c r="C147" s="8" t="s">
        <v>203</v>
      </c>
      <c r="D147" s="1" t="s">
        <v>222</v>
      </c>
      <c r="E147" s="115">
        <v>610</v>
      </c>
      <c r="F147" s="7">
        <f t="shared" si="32"/>
        <v>1857.5</v>
      </c>
      <c r="G147" s="7">
        <f t="shared" si="32"/>
        <v>0</v>
      </c>
      <c r="H147" s="36">
        <f t="shared" si="22"/>
        <v>1857.5</v>
      </c>
      <c r="I147" s="7">
        <f t="shared" si="32"/>
        <v>0</v>
      </c>
      <c r="J147" s="36">
        <f t="shared" si="21"/>
        <v>1857.5</v>
      </c>
      <c r="K147" s="7">
        <f t="shared" si="32"/>
        <v>0</v>
      </c>
      <c r="L147" s="36">
        <f t="shared" si="18"/>
        <v>1857.5</v>
      </c>
      <c r="M147" s="7">
        <f t="shared" si="32"/>
        <v>0</v>
      </c>
      <c r="N147" s="36">
        <f t="shared" si="19"/>
        <v>1857.5</v>
      </c>
      <c r="O147" s="7">
        <f t="shared" si="32"/>
        <v>0</v>
      </c>
      <c r="P147" s="36">
        <f t="shared" si="15"/>
        <v>1857.5</v>
      </c>
      <c r="Q147" s="7">
        <f t="shared" si="32"/>
        <v>0</v>
      </c>
      <c r="R147" s="36">
        <f t="shared" si="16"/>
        <v>1857.5</v>
      </c>
    </row>
    <row r="148" spans="1:18" ht="53.25" customHeight="1">
      <c r="A148" s="62" t="str">
        <f ca="1">IF(ISERROR(MATCH(E148,Код_КВР,0)),"",INDIRECT(ADDRESS(MATCH(E148,Код_КВР,0)+1,2,,,"КВР")))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48" s="44" t="s">
        <v>111</v>
      </c>
      <c r="C148" s="8" t="s">
        <v>203</v>
      </c>
      <c r="D148" s="1" t="s">
        <v>222</v>
      </c>
      <c r="E148" s="115">
        <v>611</v>
      </c>
      <c r="F148" s="7">
        <f>'прил.5'!G658</f>
        <v>1857.5</v>
      </c>
      <c r="G148" s="7">
        <f>'прил.5'!H658</f>
        <v>0</v>
      </c>
      <c r="H148" s="36">
        <f t="shared" si="22"/>
        <v>1857.5</v>
      </c>
      <c r="I148" s="7">
        <f>'прил.5'!J658</f>
        <v>0</v>
      </c>
      <c r="J148" s="36">
        <f t="shared" si="21"/>
        <v>1857.5</v>
      </c>
      <c r="K148" s="7">
        <f>'прил.5'!L658</f>
        <v>0</v>
      </c>
      <c r="L148" s="36">
        <f t="shared" si="18"/>
        <v>1857.5</v>
      </c>
      <c r="M148" s="7">
        <f>'прил.5'!N658</f>
        <v>0</v>
      </c>
      <c r="N148" s="36">
        <f>L148+M148</f>
        <v>1857.5</v>
      </c>
      <c r="O148" s="7">
        <f>'прил.5'!P658</f>
        <v>0</v>
      </c>
      <c r="P148" s="36">
        <f t="shared" si="15"/>
        <v>1857.5</v>
      </c>
      <c r="Q148" s="7">
        <f>'прил.5'!R658</f>
        <v>0</v>
      </c>
      <c r="R148" s="36">
        <f t="shared" si="16"/>
        <v>1857.5</v>
      </c>
    </row>
    <row r="149" spans="1:18" ht="22.5" customHeight="1">
      <c r="A149" s="62" t="str">
        <f ca="1">IF(ISERROR(MATCH(B149,Код_КЦСР,0)),"",INDIRECT(ADDRESS(MATCH(B149,Код_КЦСР,0)+1,2,,,"КЦСР")))</f>
        <v>Кадровое обеспечение муниципальной системы образования</v>
      </c>
      <c r="B149" s="44" t="s">
        <v>299</v>
      </c>
      <c r="C149" s="8"/>
      <c r="D149" s="1"/>
      <c r="E149" s="115"/>
      <c r="F149" s="7">
        <f>F150+F161+F180</f>
        <v>30567.6</v>
      </c>
      <c r="G149" s="7">
        <f>G150+G161+G180</f>
        <v>0</v>
      </c>
      <c r="H149" s="36">
        <f t="shared" si="22"/>
        <v>30567.6</v>
      </c>
      <c r="I149" s="7">
        <f>I150+I161+I180</f>
        <v>0</v>
      </c>
      <c r="J149" s="36">
        <f t="shared" si="21"/>
        <v>30567.6</v>
      </c>
      <c r="K149" s="7">
        <f>K150+K161+K180</f>
        <v>0</v>
      </c>
      <c r="L149" s="36">
        <f t="shared" si="18"/>
        <v>30567.6</v>
      </c>
      <c r="M149" s="7">
        <f>M150+M161+M180</f>
        <v>0</v>
      </c>
      <c r="N149" s="36">
        <f t="shared" si="19"/>
        <v>30567.6</v>
      </c>
      <c r="O149" s="7">
        <f>O150+O161+O180</f>
        <v>-10</v>
      </c>
      <c r="P149" s="36">
        <f t="shared" si="15"/>
        <v>30557.6</v>
      </c>
      <c r="Q149" s="7">
        <f>Q150+Q161+Q180</f>
        <v>2264</v>
      </c>
      <c r="R149" s="36">
        <f t="shared" si="16"/>
        <v>32821.6</v>
      </c>
    </row>
    <row r="150" spans="1:18" ht="42" customHeight="1">
      <c r="A150" s="62" t="str">
        <f ca="1">IF(ISERROR(MATCH(B150,Код_КЦСР,0)),"",INDIRECT(ADDRESS(MATCH(B150,Код_КЦСР,0)+1,2,,,"КЦСР")))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50" s="44" t="s">
        <v>301</v>
      </c>
      <c r="C150" s="8"/>
      <c r="D150" s="1"/>
      <c r="E150" s="115"/>
      <c r="F150" s="7">
        <f>F151</f>
        <v>325.5</v>
      </c>
      <c r="G150" s="7">
        <f>G151</f>
        <v>0</v>
      </c>
      <c r="H150" s="36">
        <f t="shared" si="22"/>
        <v>325.5</v>
      </c>
      <c r="I150" s="7">
        <f>I151</f>
        <v>0</v>
      </c>
      <c r="J150" s="36">
        <f t="shared" si="21"/>
        <v>325.5</v>
      </c>
      <c r="K150" s="7">
        <f>K151</f>
        <v>0</v>
      </c>
      <c r="L150" s="36">
        <f t="shared" si="18"/>
        <v>325.5</v>
      </c>
      <c r="M150" s="7">
        <f>M151</f>
        <v>0</v>
      </c>
      <c r="N150" s="36">
        <f t="shared" si="19"/>
        <v>325.5</v>
      </c>
      <c r="O150" s="7">
        <f>O151</f>
        <v>0</v>
      </c>
      <c r="P150" s="36">
        <f t="shared" si="15"/>
        <v>325.5</v>
      </c>
      <c r="Q150" s="7">
        <f>Q151</f>
        <v>0</v>
      </c>
      <c r="R150" s="36">
        <f t="shared" si="16"/>
        <v>325.5</v>
      </c>
    </row>
    <row r="151" spans="1:18" ht="56.25" customHeight="1">
      <c r="A151" s="62" t="str">
        <f ca="1">IF(ISERROR(MATCH(B151,Код_КЦСР,0)),"",INDIRECT(ADDRESS(MATCH(B151,Код_КЦСР,0)+1,2,,,"КЦСР")))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51" s="44" t="s">
        <v>303</v>
      </c>
      <c r="C151" s="8"/>
      <c r="D151" s="1"/>
      <c r="E151" s="115"/>
      <c r="F151" s="7">
        <f>F152</f>
        <v>325.5</v>
      </c>
      <c r="G151" s="7">
        <f>G152</f>
        <v>0</v>
      </c>
      <c r="H151" s="36">
        <f t="shared" si="22"/>
        <v>325.5</v>
      </c>
      <c r="I151" s="7">
        <f>I152</f>
        <v>0</v>
      </c>
      <c r="J151" s="36">
        <f t="shared" si="21"/>
        <v>325.5</v>
      </c>
      <c r="K151" s="7">
        <f>K152</f>
        <v>0</v>
      </c>
      <c r="L151" s="36">
        <f t="shared" si="18"/>
        <v>325.5</v>
      </c>
      <c r="M151" s="7">
        <f>M152</f>
        <v>0</v>
      </c>
      <c r="N151" s="36">
        <f t="shared" si="19"/>
        <v>325.5</v>
      </c>
      <c r="O151" s="7">
        <f>O152</f>
        <v>0</v>
      </c>
      <c r="P151" s="36">
        <f t="shared" si="15"/>
        <v>325.5</v>
      </c>
      <c r="Q151" s="7">
        <f>Q152</f>
        <v>0</v>
      </c>
      <c r="R151" s="36">
        <f t="shared" si="16"/>
        <v>325.5</v>
      </c>
    </row>
    <row r="152" spans="1:18" ht="12.75">
      <c r="A152" s="62" t="str">
        <f ca="1">IF(ISERROR(MATCH(C152,Код_Раздел,0)),"",INDIRECT(ADDRESS(MATCH(C152,Код_Раздел,0)+1,2,,,"Раздел")))</f>
        <v>Образование</v>
      </c>
      <c r="B152" s="44" t="s">
        <v>303</v>
      </c>
      <c r="C152" s="8" t="s">
        <v>203</v>
      </c>
      <c r="D152" s="1"/>
      <c r="E152" s="115"/>
      <c r="F152" s="7">
        <f>F153+F157</f>
        <v>325.5</v>
      </c>
      <c r="G152" s="7">
        <f>G153+G157</f>
        <v>0</v>
      </c>
      <c r="H152" s="36">
        <f t="shared" si="22"/>
        <v>325.5</v>
      </c>
      <c r="I152" s="7">
        <f>I153+I157</f>
        <v>0</v>
      </c>
      <c r="J152" s="36">
        <f t="shared" si="21"/>
        <v>325.5</v>
      </c>
      <c r="K152" s="7">
        <f>K153+K157</f>
        <v>0</v>
      </c>
      <c r="L152" s="36">
        <f t="shared" si="18"/>
        <v>325.5</v>
      </c>
      <c r="M152" s="7">
        <f>M153+M157</f>
        <v>0</v>
      </c>
      <c r="N152" s="36">
        <f t="shared" si="19"/>
        <v>325.5</v>
      </c>
      <c r="O152" s="7">
        <f>O153+O157</f>
        <v>0</v>
      </c>
      <c r="P152" s="36">
        <f t="shared" si="15"/>
        <v>325.5</v>
      </c>
      <c r="Q152" s="7">
        <f>Q153+Q157</f>
        <v>0</v>
      </c>
      <c r="R152" s="36">
        <f t="shared" si="16"/>
        <v>325.5</v>
      </c>
    </row>
    <row r="153" spans="1:18" ht="21" customHeight="1">
      <c r="A153" s="12" t="s">
        <v>266</v>
      </c>
      <c r="B153" s="44" t="s">
        <v>303</v>
      </c>
      <c r="C153" s="8" t="s">
        <v>203</v>
      </c>
      <c r="D153" s="1" t="s">
        <v>221</v>
      </c>
      <c r="E153" s="115"/>
      <c r="F153" s="7">
        <f aca="true" t="shared" si="33" ref="F153:Q155">F154</f>
        <v>130.2</v>
      </c>
      <c r="G153" s="7">
        <f t="shared" si="33"/>
        <v>0</v>
      </c>
      <c r="H153" s="36">
        <f t="shared" si="22"/>
        <v>130.2</v>
      </c>
      <c r="I153" s="7">
        <f t="shared" si="33"/>
        <v>0</v>
      </c>
      <c r="J153" s="36">
        <f t="shared" si="21"/>
        <v>130.2</v>
      </c>
      <c r="K153" s="7">
        <f t="shared" si="33"/>
        <v>0</v>
      </c>
      <c r="L153" s="36">
        <f t="shared" si="18"/>
        <v>130.2</v>
      </c>
      <c r="M153" s="7">
        <f t="shared" si="33"/>
        <v>0</v>
      </c>
      <c r="N153" s="36">
        <f t="shared" si="19"/>
        <v>130.2</v>
      </c>
      <c r="O153" s="7">
        <f t="shared" si="33"/>
        <v>0</v>
      </c>
      <c r="P153" s="36">
        <f t="shared" si="15"/>
        <v>130.2</v>
      </c>
      <c r="Q153" s="7">
        <f t="shared" si="33"/>
        <v>0</v>
      </c>
      <c r="R153" s="36">
        <f t="shared" si="16"/>
        <v>130.2</v>
      </c>
    </row>
    <row r="154" spans="1:18" ht="20.25" customHeight="1">
      <c r="A154" s="62" t="str">
        <f ca="1">IF(ISERROR(MATCH(E154,Код_КВР,0)),"",INDIRECT(ADDRESS(MATCH(E154,Код_КВР,0)+1,2,,,"КВР")))</f>
        <v>Социальное обеспечение и иные выплаты населению</v>
      </c>
      <c r="B154" s="44" t="s">
        <v>303</v>
      </c>
      <c r="C154" s="8" t="s">
        <v>203</v>
      </c>
      <c r="D154" s="1" t="s">
        <v>221</v>
      </c>
      <c r="E154" s="115">
        <v>300</v>
      </c>
      <c r="F154" s="7">
        <f t="shared" si="33"/>
        <v>130.2</v>
      </c>
      <c r="G154" s="7">
        <f t="shared" si="33"/>
        <v>0</v>
      </c>
      <c r="H154" s="36">
        <f t="shared" si="22"/>
        <v>130.2</v>
      </c>
      <c r="I154" s="7">
        <f t="shared" si="33"/>
        <v>0</v>
      </c>
      <c r="J154" s="36">
        <f t="shared" si="21"/>
        <v>130.2</v>
      </c>
      <c r="K154" s="7">
        <f t="shared" si="33"/>
        <v>0</v>
      </c>
      <c r="L154" s="36">
        <f t="shared" si="18"/>
        <v>130.2</v>
      </c>
      <c r="M154" s="7">
        <f t="shared" si="33"/>
        <v>0</v>
      </c>
      <c r="N154" s="36">
        <f t="shared" si="19"/>
        <v>130.2</v>
      </c>
      <c r="O154" s="7">
        <f t="shared" si="33"/>
        <v>0</v>
      </c>
      <c r="P154" s="36">
        <f t="shared" si="15"/>
        <v>130.2</v>
      </c>
      <c r="Q154" s="7">
        <f t="shared" si="33"/>
        <v>0</v>
      </c>
      <c r="R154" s="36">
        <f t="shared" si="16"/>
        <v>130.2</v>
      </c>
    </row>
    <row r="155" spans="1:18" ht="19.5" customHeight="1">
      <c r="A155" s="62" t="str">
        <f ca="1">IF(ISERROR(MATCH(E155,Код_КВР,0)),"",INDIRECT(ADDRESS(MATCH(E155,Код_КВР,0)+1,2,,,"КВР")))</f>
        <v>Публичные нормативные социальные выплаты гражданам</v>
      </c>
      <c r="B155" s="44" t="s">
        <v>303</v>
      </c>
      <c r="C155" s="8" t="s">
        <v>203</v>
      </c>
      <c r="D155" s="1" t="s">
        <v>221</v>
      </c>
      <c r="E155" s="115">
        <v>310</v>
      </c>
      <c r="F155" s="7">
        <f t="shared" si="33"/>
        <v>130.2</v>
      </c>
      <c r="G155" s="7">
        <f t="shared" si="33"/>
        <v>0</v>
      </c>
      <c r="H155" s="36">
        <f t="shared" si="22"/>
        <v>130.2</v>
      </c>
      <c r="I155" s="7">
        <f t="shared" si="33"/>
        <v>0</v>
      </c>
      <c r="J155" s="36">
        <f t="shared" si="21"/>
        <v>130.2</v>
      </c>
      <c r="K155" s="7">
        <f t="shared" si="33"/>
        <v>0</v>
      </c>
      <c r="L155" s="36">
        <f t="shared" si="18"/>
        <v>130.2</v>
      </c>
      <c r="M155" s="7">
        <f t="shared" si="33"/>
        <v>0</v>
      </c>
      <c r="N155" s="36">
        <f t="shared" si="19"/>
        <v>130.2</v>
      </c>
      <c r="O155" s="7">
        <f t="shared" si="33"/>
        <v>0</v>
      </c>
      <c r="P155" s="36">
        <f aca="true" t="shared" si="34" ref="P155:P218">N155+O155</f>
        <v>130.2</v>
      </c>
      <c r="Q155" s="7">
        <f t="shared" si="33"/>
        <v>0</v>
      </c>
      <c r="R155" s="36">
        <f aca="true" t="shared" si="35" ref="R155:R218">P155+Q155</f>
        <v>130.2</v>
      </c>
    </row>
    <row r="156" spans="1:18" ht="39" customHeight="1">
      <c r="A156" s="62" t="str">
        <f ca="1">IF(ISERROR(MATCH(E156,Код_КВР,0)),"",INDIRECT(ADDRESS(MATCH(E156,Код_КВР,0)+1,2,,,"КВР")))</f>
        <v>Пособия, компенсации, меры социальной поддержки по публичным нормативным обязательствам</v>
      </c>
      <c r="B156" s="44" t="s">
        <v>303</v>
      </c>
      <c r="C156" s="8" t="s">
        <v>203</v>
      </c>
      <c r="D156" s="1" t="s">
        <v>221</v>
      </c>
      <c r="E156" s="115">
        <v>313</v>
      </c>
      <c r="F156" s="7">
        <f>'прил.5'!G605</f>
        <v>130.2</v>
      </c>
      <c r="G156" s="7">
        <f>'прил.5'!H605</f>
        <v>0</v>
      </c>
      <c r="H156" s="36">
        <f t="shared" si="22"/>
        <v>130.2</v>
      </c>
      <c r="I156" s="7">
        <f>'прил.5'!J605</f>
        <v>0</v>
      </c>
      <c r="J156" s="36">
        <f t="shared" si="21"/>
        <v>130.2</v>
      </c>
      <c r="K156" s="7">
        <f>'прил.5'!L605</f>
        <v>0</v>
      </c>
      <c r="L156" s="36">
        <f t="shared" si="18"/>
        <v>130.2</v>
      </c>
      <c r="M156" s="7">
        <f>'прил.5'!N605</f>
        <v>0</v>
      </c>
      <c r="N156" s="36">
        <f t="shared" si="19"/>
        <v>130.2</v>
      </c>
      <c r="O156" s="7">
        <f>'прил.5'!P605</f>
        <v>0</v>
      </c>
      <c r="P156" s="36">
        <f t="shared" si="34"/>
        <v>130.2</v>
      </c>
      <c r="Q156" s="7">
        <f>'прил.5'!R605</f>
        <v>0</v>
      </c>
      <c r="R156" s="36">
        <f t="shared" si="35"/>
        <v>130.2</v>
      </c>
    </row>
    <row r="157" spans="1:18" ht="20.25" customHeight="1">
      <c r="A157" s="12" t="s">
        <v>258</v>
      </c>
      <c r="B157" s="44" t="s">
        <v>303</v>
      </c>
      <c r="C157" s="8" t="s">
        <v>203</v>
      </c>
      <c r="D157" s="1" t="s">
        <v>222</v>
      </c>
      <c r="E157" s="115"/>
      <c r="F157" s="7">
        <f aca="true" t="shared" si="36" ref="F157:Q159">F158</f>
        <v>195.3</v>
      </c>
      <c r="G157" s="7">
        <f t="shared" si="36"/>
        <v>0</v>
      </c>
      <c r="H157" s="36">
        <f t="shared" si="22"/>
        <v>195.3</v>
      </c>
      <c r="I157" s="7">
        <f t="shared" si="36"/>
        <v>0</v>
      </c>
      <c r="J157" s="36">
        <f t="shared" si="21"/>
        <v>195.3</v>
      </c>
      <c r="K157" s="7">
        <f t="shared" si="36"/>
        <v>0</v>
      </c>
      <c r="L157" s="36">
        <f t="shared" si="18"/>
        <v>195.3</v>
      </c>
      <c r="M157" s="7">
        <f t="shared" si="36"/>
        <v>0</v>
      </c>
      <c r="N157" s="36">
        <f t="shared" si="19"/>
        <v>195.3</v>
      </c>
      <c r="O157" s="7">
        <f t="shared" si="36"/>
        <v>0</v>
      </c>
      <c r="P157" s="36">
        <f t="shared" si="34"/>
        <v>195.3</v>
      </c>
      <c r="Q157" s="7">
        <f t="shared" si="36"/>
        <v>0</v>
      </c>
      <c r="R157" s="36">
        <f t="shared" si="35"/>
        <v>195.3</v>
      </c>
    </row>
    <row r="158" spans="1:18" ht="19.5" customHeight="1">
      <c r="A158" s="62" t="str">
        <f ca="1">IF(ISERROR(MATCH(E158,Код_КВР,0)),"",INDIRECT(ADDRESS(MATCH(E158,Код_КВР,0)+1,2,,,"КВР")))</f>
        <v>Социальное обеспечение и иные выплаты населению</v>
      </c>
      <c r="B158" s="44" t="s">
        <v>303</v>
      </c>
      <c r="C158" s="8" t="s">
        <v>203</v>
      </c>
      <c r="D158" s="1" t="s">
        <v>222</v>
      </c>
      <c r="E158" s="115">
        <v>300</v>
      </c>
      <c r="F158" s="7">
        <f t="shared" si="36"/>
        <v>195.3</v>
      </c>
      <c r="G158" s="7">
        <f t="shared" si="36"/>
        <v>0</v>
      </c>
      <c r="H158" s="36">
        <f t="shared" si="22"/>
        <v>195.3</v>
      </c>
      <c r="I158" s="7">
        <f t="shared" si="36"/>
        <v>0</v>
      </c>
      <c r="J158" s="36">
        <f t="shared" si="21"/>
        <v>195.3</v>
      </c>
      <c r="K158" s="7">
        <f t="shared" si="36"/>
        <v>0</v>
      </c>
      <c r="L158" s="36">
        <f t="shared" si="18"/>
        <v>195.3</v>
      </c>
      <c r="M158" s="7">
        <f t="shared" si="36"/>
        <v>0</v>
      </c>
      <c r="N158" s="36">
        <f t="shared" si="19"/>
        <v>195.3</v>
      </c>
      <c r="O158" s="7">
        <f t="shared" si="36"/>
        <v>0</v>
      </c>
      <c r="P158" s="36">
        <f t="shared" si="34"/>
        <v>195.3</v>
      </c>
      <c r="Q158" s="7">
        <f t="shared" si="36"/>
        <v>0</v>
      </c>
      <c r="R158" s="36">
        <f t="shared" si="35"/>
        <v>195.3</v>
      </c>
    </row>
    <row r="159" spans="1:18" ht="18.75" customHeight="1">
      <c r="A159" s="62" t="str">
        <f ca="1">IF(ISERROR(MATCH(E159,Код_КВР,0)),"",INDIRECT(ADDRESS(MATCH(E159,Код_КВР,0)+1,2,,,"КВР")))</f>
        <v>Публичные нормативные социальные выплаты гражданам</v>
      </c>
      <c r="B159" s="44" t="s">
        <v>303</v>
      </c>
      <c r="C159" s="8" t="s">
        <v>203</v>
      </c>
      <c r="D159" s="1" t="s">
        <v>222</v>
      </c>
      <c r="E159" s="115">
        <v>310</v>
      </c>
      <c r="F159" s="7">
        <f t="shared" si="36"/>
        <v>195.3</v>
      </c>
      <c r="G159" s="7">
        <f t="shared" si="36"/>
        <v>0</v>
      </c>
      <c r="H159" s="36">
        <f t="shared" si="22"/>
        <v>195.3</v>
      </c>
      <c r="I159" s="7">
        <f t="shared" si="36"/>
        <v>0</v>
      </c>
      <c r="J159" s="36">
        <f t="shared" si="21"/>
        <v>195.3</v>
      </c>
      <c r="K159" s="7">
        <f t="shared" si="36"/>
        <v>0</v>
      </c>
      <c r="L159" s="36">
        <f t="shared" si="18"/>
        <v>195.3</v>
      </c>
      <c r="M159" s="7">
        <f t="shared" si="36"/>
        <v>0</v>
      </c>
      <c r="N159" s="36">
        <f t="shared" si="19"/>
        <v>195.3</v>
      </c>
      <c r="O159" s="7">
        <f t="shared" si="36"/>
        <v>0</v>
      </c>
      <c r="P159" s="36">
        <f t="shared" si="34"/>
        <v>195.3</v>
      </c>
      <c r="Q159" s="7">
        <f t="shared" si="36"/>
        <v>0</v>
      </c>
      <c r="R159" s="36">
        <f t="shared" si="35"/>
        <v>195.3</v>
      </c>
    </row>
    <row r="160" spans="1:18" ht="33">
      <c r="A160" s="62" t="str">
        <f ca="1">IF(ISERROR(MATCH(E160,Код_КВР,0)),"",INDIRECT(ADDRESS(MATCH(E160,Код_КВР,0)+1,2,,,"КВР")))</f>
        <v>Пособия, компенсации, меры социальной поддержки по публичным нормативным обязательствам</v>
      </c>
      <c r="B160" s="44" t="s">
        <v>303</v>
      </c>
      <c r="C160" s="8" t="s">
        <v>203</v>
      </c>
      <c r="D160" s="1" t="s">
        <v>222</v>
      </c>
      <c r="E160" s="115">
        <v>313</v>
      </c>
      <c r="F160" s="7">
        <f>'прил.5'!G664</f>
        <v>195.3</v>
      </c>
      <c r="G160" s="7">
        <f>'прил.5'!H664</f>
        <v>0</v>
      </c>
      <c r="H160" s="36">
        <f t="shared" si="22"/>
        <v>195.3</v>
      </c>
      <c r="I160" s="7">
        <f>'прил.5'!J664</f>
        <v>0</v>
      </c>
      <c r="J160" s="36">
        <f t="shared" si="21"/>
        <v>195.3</v>
      </c>
      <c r="K160" s="7">
        <f>'прил.5'!L664</f>
        <v>0</v>
      </c>
      <c r="L160" s="36">
        <f aca="true" t="shared" si="37" ref="L160:L223">J160+K160</f>
        <v>195.3</v>
      </c>
      <c r="M160" s="7">
        <f>'прил.5'!N664</f>
        <v>0</v>
      </c>
      <c r="N160" s="36">
        <f aca="true" t="shared" si="38" ref="N160:N223">L160+M160</f>
        <v>195.3</v>
      </c>
      <c r="O160" s="7">
        <f>'прил.5'!P664</f>
        <v>0</v>
      </c>
      <c r="P160" s="36">
        <f t="shared" si="34"/>
        <v>195.3</v>
      </c>
      <c r="Q160" s="7">
        <f>'прил.5'!R664</f>
        <v>0</v>
      </c>
      <c r="R160" s="36">
        <f t="shared" si="35"/>
        <v>195.3</v>
      </c>
    </row>
    <row r="161" spans="1:18" ht="33">
      <c r="A161" s="62" t="str">
        <f ca="1">IF(ISERROR(MATCH(B161,Код_КЦСР,0)),"",INDIRECT(ADDRESS(MATCH(B161,Код_КЦСР,0)+1,2,,,"КЦСР")))</f>
        <v xml:space="preserve">Осуществление денежных выплат работникам муниципальных образовательных учреждений     </v>
      </c>
      <c r="B161" s="44" t="s">
        <v>304</v>
      </c>
      <c r="C161" s="8"/>
      <c r="D161" s="1"/>
      <c r="E161" s="115"/>
      <c r="F161" s="7">
        <f>F162+F168+F174</f>
        <v>30209.5</v>
      </c>
      <c r="G161" s="7">
        <f>G162+G168+G174</f>
        <v>0</v>
      </c>
      <c r="H161" s="36">
        <f t="shared" si="22"/>
        <v>30209.5</v>
      </c>
      <c r="I161" s="7">
        <f>I162+I168+I174</f>
        <v>0</v>
      </c>
      <c r="J161" s="36">
        <f t="shared" si="21"/>
        <v>30209.5</v>
      </c>
      <c r="K161" s="7">
        <f>K162+K168+K174</f>
        <v>0</v>
      </c>
      <c r="L161" s="36">
        <f t="shared" si="37"/>
        <v>30209.5</v>
      </c>
      <c r="M161" s="7">
        <f>M162+M168+M174</f>
        <v>0</v>
      </c>
      <c r="N161" s="36">
        <f t="shared" si="38"/>
        <v>30209.5</v>
      </c>
      <c r="O161" s="7">
        <f>O162+O168+O174</f>
        <v>-10</v>
      </c>
      <c r="P161" s="36">
        <f t="shared" si="34"/>
        <v>30199.5</v>
      </c>
      <c r="Q161" s="7">
        <f>Q162+Q168+Q174</f>
        <v>2264</v>
      </c>
      <c r="R161" s="36">
        <f t="shared" si="35"/>
        <v>32463.5</v>
      </c>
    </row>
    <row r="162" spans="1:18" ht="90.75" customHeight="1">
      <c r="A162" s="62" t="str">
        <f ca="1">IF(ISERROR(MATCH(B162,Код_КЦСР,0)),"",INDIRECT(ADDRESS(MATCH(B162,Код_КЦСР,0)+1,2,,,"КЦСР")))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162" s="44" t="s">
        <v>306</v>
      </c>
      <c r="C162" s="8"/>
      <c r="D162" s="1"/>
      <c r="E162" s="115"/>
      <c r="F162" s="7">
        <f aca="true" t="shared" si="39" ref="F162:Q166">F163</f>
        <v>6156</v>
      </c>
      <c r="G162" s="7">
        <f t="shared" si="39"/>
        <v>0</v>
      </c>
      <c r="H162" s="36">
        <f t="shared" si="22"/>
        <v>6156</v>
      </c>
      <c r="I162" s="7">
        <f t="shared" si="39"/>
        <v>0</v>
      </c>
      <c r="J162" s="36">
        <f aca="true" t="shared" si="40" ref="J162:J225">H162+I162</f>
        <v>6156</v>
      </c>
      <c r="K162" s="7">
        <f t="shared" si="39"/>
        <v>0</v>
      </c>
      <c r="L162" s="36">
        <f t="shared" si="37"/>
        <v>6156</v>
      </c>
      <c r="M162" s="7">
        <f t="shared" si="39"/>
        <v>0</v>
      </c>
      <c r="N162" s="36">
        <f t="shared" si="38"/>
        <v>6156</v>
      </c>
      <c r="O162" s="7">
        <f t="shared" si="39"/>
        <v>0</v>
      </c>
      <c r="P162" s="36">
        <f t="shared" si="34"/>
        <v>6156</v>
      </c>
      <c r="Q162" s="7">
        <f t="shared" si="39"/>
        <v>2264</v>
      </c>
      <c r="R162" s="36">
        <f t="shared" si="35"/>
        <v>8420</v>
      </c>
    </row>
    <row r="163" spans="1:18" ht="19.5" customHeight="1">
      <c r="A163" s="62" t="str">
        <f ca="1">IF(ISERROR(MATCH(C163,Код_Раздел,0)),"",INDIRECT(ADDRESS(MATCH(C163,Код_Раздел,0)+1,2,,,"Раздел")))</f>
        <v>Образование</v>
      </c>
      <c r="B163" s="44" t="s">
        <v>306</v>
      </c>
      <c r="C163" s="8" t="s">
        <v>203</v>
      </c>
      <c r="D163" s="1"/>
      <c r="E163" s="115"/>
      <c r="F163" s="7">
        <f t="shared" si="39"/>
        <v>6156</v>
      </c>
      <c r="G163" s="7">
        <f t="shared" si="39"/>
        <v>0</v>
      </c>
      <c r="H163" s="36">
        <f t="shared" si="22"/>
        <v>6156</v>
      </c>
      <c r="I163" s="7">
        <f t="shared" si="39"/>
        <v>0</v>
      </c>
      <c r="J163" s="36">
        <f t="shared" si="40"/>
        <v>6156</v>
      </c>
      <c r="K163" s="7">
        <f t="shared" si="39"/>
        <v>0</v>
      </c>
      <c r="L163" s="36">
        <f t="shared" si="37"/>
        <v>6156</v>
      </c>
      <c r="M163" s="7">
        <f t="shared" si="39"/>
        <v>0</v>
      </c>
      <c r="N163" s="36">
        <f t="shared" si="38"/>
        <v>6156</v>
      </c>
      <c r="O163" s="7">
        <f t="shared" si="39"/>
        <v>0</v>
      </c>
      <c r="P163" s="36">
        <f t="shared" si="34"/>
        <v>6156</v>
      </c>
      <c r="Q163" s="7">
        <f t="shared" si="39"/>
        <v>2264</v>
      </c>
      <c r="R163" s="36">
        <f t="shared" si="35"/>
        <v>8420</v>
      </c>
    </row>
    <row r="164" spans="1:18" ht="21" customHeight="1">
      <c r="A164" s="12" t="s">
        <v>266</v>
      </c>
      <c r="B164" s="44" t="s">
        <v>306</v>
      </c>
      <c r="C164" s="8" t="s">
        <v>203</v>
      </c>
      <c r="D164" s="1" t="s">
        <v>221</v>
      </c>
      <c r="E164" s="115"/>
      <c r="F164" s="7">
        <f t="shared" si="39"/>
        <v>6156</v>
      </c>
      <c r="G164" s="7">
        <f t="shared" si="39"/>
        <v>0</v>
      </c>
      <c r="H164" s="36">
        <f t="shared" si="22"/>
        <v>6156</v>
      </c>
      <c r="I164" s="7">
        <f t="shared" si="39"/>
        <v>0</v>
      </c>
      <c r="J164" s="36">
        <f t="shared" si="40"/>
        <v>6156</v>
      </c>
      <c r="K164" s="7">
        <f t="shared" si="39"/>
        <v>0</v>
      </c>
      <c r="L164" s="36">
        <f t="shared" si="37"/>
        <v>6156</v>
      </c>
      <c r="M164" s="7">
        <f t="shared" si="39"/>
        <v>0</v>
      </c>
      <c r="N164" s="36">
        <f t="shared" si="38"/>
        <v>6156</v>
      </c>
      <c r="O164" s="7">
        <f t="shared" si="39"/>
        <v>0</v>
      </c>
      <c r="P164" s="36">
        <f t="shared" si="34"/>
        <v>6156</v>
      </c>
      <c r="Q164" s="7">
        <f t="shared" si="39"/>
        <v>2264</v>
      </c>
      <c r="R164" s="36">
        <f t="shared" si="35"/>
        <v>8420</v>
      </c>
    </row>
    <row r="165" spans="1:18" ht="20.25" customHeight="1">
      <c r="A165" s="62" t="str">
        <f ca="1">IF(ISERROR(MATCH(E165,Код_КВР,0)),"",INDIRECT(ADDRESS(MATCH(E165,Код_КВР,0)+1,2,,,"КВР")))</f>
        <v>Социальное обеспечение и иные выплаты населению</v>
      </c>
      <c r="B165" s="44" t="s">
        <v>306</v>
      </c>
      <c r="C165" s="8" t="s">
        <v>203</v>
      </c>
      <c r="D165" s="1" t="s">
        <v>221</v>
      </c>
      <c r="E165" s="115">
        <v>300</v>
      </c>
      <c r="F165" s="7">
        <f t="shared" si="39"/>
        <v>6156</v>
      </c>
      <c r="G165" s="7">
        <f t="shared" si="39"/>
        <v>0</v>
      </c>
      <c r="H165" s="36">
        <f t="shared" si="22"/>
        <v>6156</v>
      </c>
      <c r="I165" s="7">
        <f t="shared" si="39"/>
        <v>0</v>
      </c>
      <c r="J165" s="36">
        <f t="shared" si="40"/>
        <v>6156</v>
      </c>
      <c r="K165" s="7">
        <f t="shared" si="39"/>
        <v>0</v>
      </c>
      <c r="L165" s="36">
        <f t="shared" si="37"/>
        <v>6156</v>
      </c>
      <c r="M165" s="7">
        <f t="shared" si="39"/>
        <v>0</v>
      </c>
      <c r="N165" s="36">
        <f t="shared" si="38"/>
        <v>6156</v>
      </c>
      <c r="O165" s="7">
        <f t="shared" si="39"/>
        <v>0</v>
      </c>
      <c r="P165" s="36">
        <f t="shared" si="34"/>
        <v>6156</v>
      </c>
      <c r="Q165" s="7">
        <f t="shared" si="39"/>
        <v>2264</v>
      </c>
      <c r="R165" s="36">
        <f t="shared" si="35"/>
        <v>8420</v>
      </c>
    </row>
    <row r="166" spans="1:18" ht="23.25" customHeight="1">
      <c r="A166" s="62" t="str">
        <f ca="1">IF(ISERROR(MATCH(E166,Код_КВР,0)),"",INDIRECT(ADDRESS(MATCH(E166,Код_КВР,0)+1,2,,,"КВР")))</f>
        <v>Публичные нормативные социальные выплаты гражданам</v>
      </c>
      <c r="B166" s="44" t="s">
        <v>306</v>
      </c>
      <c r="C166" s="8" t="s">
        <v>203</v>
      </c>
      <c r="D166" s="1" t="s">
        <v>221</v>
      </c>
      <c r="E166" s="115">
        <v>310</v>
      </c>
      <c r="F166" s="7">
        <f t="shared" si="39"/>
        <v>6156</v>
      </c>
      <c r="G166" s="7">
        <f t="shared" si="39"/>
        <v>0</v>
      </c>
      <c r="H166" s="36">
        <f t="shared" si="22"/>
        <v>6156</v>
      </c>
      <c r="I166" s="7">
        <f t="shared" si="39"/>
        <v>0</v>
      </c>
      <c r="J166" s="36">
        <f t="shared" si="40"/>
        <v>6156</v>
      </c>
      <c r="K166" s="7">
        <f t="shared" si="39"/>
        <v>0</v>
      </c>
      <c r="L166" s="36">
        <f t="shared" si="37"/>
        <v>6156</v>
      </c>
      <c r="M166" s="7">
        <f t="shared" si="39"/>
        <v>0</v>
      </c>
      <c r="N166" s="36">
        <f t="shared" si="38"/>
        <v>6156</v>
      </c>
      <c r="O166" s="7">
        <f t="shared" si="39"/>
        <v>0</v>
      </c>
      <c r="P166" s="36">
        <f t="shared" si="34"/>
        <v>6156</v>
      </c>
      <c r="Q166" s="7">
        <f t="shared" si="39"/>
        <v>2264</v>
      </c>
      <c r="R166" s="36">
        <f t="shared" si="35"/>
        <v>8420</v>
      </c>
    </row>
    <row r="167" spans="1:18" ht="36.75" customHeight="1">
      <c r="A167" s="62" t="str">
        <f ca="1">IF(ISERROR(MATCH(E167,Код_КВР,0)),"",INDIRECT(ADDRESS(MATCH(E167,Код_КВР,0)+1,2,,,"КВР")))</f>
        <v>Пособия, компенсации, меры социальной поддержки по публичным нормативным обязательствам</v>
      </c>
      <c r="B167" s="44" t="s">
        <v>306</v>
      </c>
      <c r="C167" s="8" t="s">
        <v>203</v>
      </c>
      <c r="D167" s="1" t="s">
        <v>221</v>
      </c>
      <c r="E167" s="115">
        <v>313</v>
      </c>
      <c r="F167" s="7">
        <f>'прил.5'!G610</f>
        <v>6156</v>
      </c>
      <c r="G167" s="7">
        <f>'прил.5'!H610</f>
        <v>0</v>
      </c>
      <c r="H167" s="36">
        <f t="shared" si="22"/>
        <v>6156</v>
      </c>
      <c r="I167" s="7">
        <f>'прил.5'!J610</f>
        <v>0</v>
      </c>
      <c r="J167" s="36">
        <f t="shared" si="40"/>
        <v>6156</v>
      </c>
      <c r="K167" s="7">
        <f>'прил.5'!L610</f>
        <v>0</v>
      </c>
      <c r="L167" s="36">
        <f t="shared" si="37"/>
        <v>6156</v>
      </c>
      <c r="M167" s="7">
        <f>'прил.5'!N610</f>
        <v>0</v>
      </c>
      <c r="N167" s="36">
        <f t="shared" si="38"/>
        <v>6156</v>
      </c>
      <c r="O167" s="7">
        <f>'прил.5'!P610</f>
        <v>0</v>
      </c>
      <c r="P167" s="36">
        <f t="shared" si="34"/>
        <v>6156</v>
      </c>
      <c r="Q167" s="7">
        <f>'прил.5'!R610</f>
        <v>2264</v>
      </c>
      <c r="R167" s="36">
        <f t="shared" si="35"/>
        <v>8420</v>
      </c>
    </row>
    <row r="168" spans="1:18" ht="70.7" customHeight="1">
      <c r="A168" s="62" t="str">
        <f ca="1">IF(ISERROR(MATCH(B168,Код_КЦСР,0)),"",INDIRECT(ADDRESS(MATCH(B168,Код_КЦСР,0)+1,2,,,"КЦСР")))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68" s="44" t="s">
        <v>463</v>
      </c>
      <c r="C168" s="8"/>
      <c r="D168" s="1"/>
      <c r="E168" s="115"/>
      <c r="F168" s="7">
        <f aca="true" t="shared" si="41" ref="F168:Q172">F169</f>
        <v>11634.9</v>
      </c>
      <c r="G168" s="7">
        <f t="shared" si="41"/>
        <v>0</v>
      </c>
      <c r="H168" s="36">
        <f t="shared" si="22"/>
        <v>11634.9</v>
      </c>
      <c r="I168" s="7">
        <f t="shared" si="41"/>
        <v>0</v>
      </c>
      <c r="J168" s="36">
        <f t="shared" si="40"/>
        <v>11634.9</v>
      </c>
      <c r="K168" s="7">
        <f t="shared" si="41"/>
        <v>0</v>
      </c>
      <c r="L168" s="36">
        <f t="shared" si="37"/>
        <v>11634.9</v>
      </c>
      <c r="M168" s="7">
        <f t="shared" si="41"/>
        <v>0</v>
      </c>
      <c r="N168" s="36">
        <f t="shared" si="38"/>
        <v>11634.9</v>
      </c>
      <c r="O168" s="7">
        <f t="shared" si="41"/>
        <v>-10</v>
      </c>
      <c r="P168" s="36">
        <f t="shared" si="34"/>
        <v>11624.9</v>
      </c>
      <c r="Q168" s="7">
        <f t="shared" si="41"/>
        <v>0</v>
      </c>
      <c r="R168" s="36">
        <f t="shared" si="35"/>
        <v>11624.9</v>
      </c>
    </row>
    <row r="169" spans="1:18" ht="12.75">
      <c r="A169" s="62" t="str">
        <f ca="1">IF(ISERROR(MATCH(C169,Код_Раздел,0)),"",INDIRECT(ADDRESS(MATCH(C169,Код_Раздел,0)+1,2,,,"Раздел")))</f>
        <v>Социальная политика</v>
      </c>
      <c r="B169" s="44" t="s">
        <v>463</v>
      </c>
      <c r="C169" s="8" t="s">
        <v>196</v>
      </c>
      <c r="D169" s="1"/>
      <c r="E169" s="115"/>
      <c r="F169" s="7">
        <f t="shared" si="41"/>
        <v>11634.9</v>
      </c>
      <c r="G169" s="7">
        <f t="shared" si="41"/>
        <v>0</v>
      </c>
      <c r="H169" s="36">
        <f t="shared" si="22"/>
        <v>11634.9</v>
      </c>
      <c r="I169" s="7">
        <f t="shared" si="41"/>
        <v>0</v>
      </c>
      <c r="J169" s="36">
        <f t="shared" si="40"/>
        <v>11634.9</v>
      </c>
      <c r="K169" s="7">
        <f t="shared" si="41"/>
        <v>0</v>
      </c>
      <c r="L169" s="36">
        <f t="shared" si="37"/>
        <v>11634.9</v>
      </c>
      <c r="M169" s="7">
        <f t="shared" si="41"/>
        <v>0</v>
      </c>
      <c r="N169" s="36">
        <f t="shared" si="38"/>
        <v>11634.9</v>
      </c>
      <c r="O169" s="7">
        <f t="shared" si="41"/>
        <v>-10</v>
      </c>
      <c r="P169" s="36">
        <f t="shared" si="34"/>
        <v>11624.9</v>
      </c>
      <c r="Q169" s="7">
        <f t="shared" si="41"/>
        <v>0</v>
      </c>
      <c r="R169" s="36">
        <f t="shared" si="35"/>
        <v>11624.9</v>
      </c>
    </row>
    <row r="170" spans="1:18" ht="18.75" customHeight="1">
      <c r="A170" s="12" t="s">
        <v>187</v>
      </c>
      <c r="B170" s="44" t="s">
        <v>463</v>
      </c>
      <c r="C170" s="8" t="s">
        <v>196</v>
      </c>
      <c r="D170" s="8" t="s">
        <v>223</v>
      </c>
      <c r="E170" s="115"/>
      <c r="F170" s="7">
        <f t="shared" si="41"/>
        <v>11634.9</v>
      </c>
      <c r="G170" s="7">
        <f t="shared" si="41"/>
        <v>0</v>
      </c>
      <c r="H170" s="36">
        <f aca="true" t="shared" si="42" ref="H170:H233">F170+G170</f>
        <v>11634.9</v>
      </c>
      <c r="I170" s="7">
        <f t="shared" si="41"/>
        <v>0</v>
      </c>
      <c r="J170" s="36">
        <f t="shared" si="40"/>
        <v>11634.9</v>
      </c>
      <c r="K170" s="7">
        <f t="shared" si="41"/>
        <v>0</v>
      </c>
      <c r="L170" s="36">
        <f t="shared" si="37"/>
        <v>11634.9</v>
      </c>
      <c r="M170" s="7">
        <f t="shared" si="41"/>
        <v>0</v>
      </c>
      <c r="N170" s="36">
        <f t="shared" si="38"/>
        <v>11634.9</v>
      </c>
      <c r="O170" s="7">
        <f t="shared" si="41"/>
        <v>-10</v>
      </c>
      <c r="P170" s="36">
        <f t="shared" si="34"/>
        <v>11624.9</v>
      </c>
      <c r="Q170" s="7">
        <f t="shared" si="41"/>
        <v>0</v>
      </c>
      <c r="R170" s="36">
        <f t="shared" si="35"/>
        <v>11624.9</v>
      </c>
    </row>
    <row r="171" spans="1:18" ht="18.75" customHeight="1">
      <c r="A171" s="62" t="str">
        <f ca="1">IF(ISERROR(MATCH(E171,Код_КВР,0)),"",INDIRECT(ADDRESS(MATCH(E171,Код_КВР,0)+1,2,,,"КВР")))</f>
        <v>Социальное обеспечение и иные выплаты населению</v>
      </c>
      <c r="B171" s="44" t="s">
        <v>463</v>
      </c>
      <c r="C171" s="8" t="s">
        <v>196</v>
      </c>
      <c r="D171" s="8" t="s">
        <v>223</v>
      </c>
      <c r="E171" s="115">
        <v>300</v>
      </c>
      <c r="F171" s="7">
        <f t="shared" si="41"/>
        <v>11634.9</v>
      </c>
      <c r="G171" s="7">
        <f t="shared" si="41"/>
        <v>0</v>
      </c>
      <c r="H171" s="36">
        <f t="shared" si="42"/>
        <v>11634.9</v>
      </c>
      <c r="I171" s="7">
        <f t="shared" si="41"/>
        <v>0</v>
      </c>
      <c r="J171" s="36">
        <f t="shared" si="40"/>
        <v>11634.9</v>
      </c>
      <c r="K171" s="7">
        <f t="shared" si="41"/>
        <v>0</v>
      </c>
      <c r="L171" s="36">
        <f t="shared" si="37"/>
        <v>11634.9</v>
      </c>
      <c r="M171" s="7">
        <f t="shared" si="41"/>
        <v>0</v>
      </c>
      <c r="N171" s="36">
        <f t="shared" si="38"/>
        <v>11634.9</v>
      </c>
      <c r="O171" s="7">
        <f t="shared" si="41"/>
        <v>-10</v>
      </c>
      <c r="P171" s="36">
        <f t="shared" si="34"/>
        <v>11624.9</v>
      </c>
      <c r="Q171" s="7">
        <f t="shared" si="41"/>
        <v>0</v>
      </c>
      <c r="R171" s="36">
        <f t="shared" si="35"/>
        <v>11624.9</v>
      </c>
    </row>
    <row r="172" spans="1:18" ht="18.75" customHeight="1">
      <c r="A172" s="62" t="str">
        <f ca="1">IF(ISERROR(MATCH(E172,Код_КВР,0)),"",INDIRECT(ADDRESS(MATCH(E172,Код_КВР,0)+1,2,,,"КВР")))</f>
        <v>Публичные нормативные социальные выплаты гражданам</v>
      </c>
      <c r="B172" s="44" t="s">
        <v>463</v>
      </c>
      <c r="C172" s="8" t="s">
        <v>196</v>
      </c>
      <c r="D172" s="8" t="s">
        <v>223</v>
      </c>
      <c r="E172" s="115">
        <v>310</v>
      </c>
      <c r="F172" s="7">
        <f t="shared" si="41"/>
        <v>11634.9</v>
      </c>
      <c r="G172" s="7">
        <f t="shared" si="41"/>
        <v>0</v>
      </c>
      <c r="H172" s="36">
        <f t="shared" si="42"/>
        <v>11634.9</v>
      </c>
      <c r="I172" s="7">
        <f t="shared" si="41"/>
        <v>0</v>
      </c>
      <c r="J172" s="36">
        <f t="shared" si="40"/>
        <v>11634.9</v>
      </c>
      <c r="K172" s="7">
        <f t="shared" si="41"/>
        <v>0</v>
      </c>
      <c r="L172" s="36">
        <f t="shared" si="37"/>
        <v>11634.9</v>
      </c>
      <c r="M172" s="7">
        <f t="shared" si="41"/>
        <v>0</v>
      </c>
      <c r="N172" s="36">
        <f t="shared" si="38"/>
        <v>11634.9</v>
      </c>
      <c r="O172" s="7">
        <f t="shared" si="41"/>
        <v>-10</v>
      </c>
      <c r="P172" s="36">
        <f t="shared" si="34"/>
        <v>11624.9</v>
      </c>
      <c r="Q172" s="7">
        <f t="shared" si="41"/>
        <v>0</v>
      </c>
      <c r="R172" s="36">
        <f t="shared" si="35"/>
        <v>11624.9</v>
      </c>
    </row>
    <row r="173" spans="1:18" ht="35.25" customHeight="1">
      <c r="A173" s="62" t="str">
        <f ca="1">IF(ISERROR(MATCH(E173,Код_КВР,0)),"",INDIRECT(ADDRESS(MATCH(E173,Код_КВР,0)+1,2,,,"КВР")))</f>
        <v>Пособия, компенсации, меры социальной поддержки по публичным нормативным обязательствам</v>
      </c>
      <c r="B173" s="44" t="s">
        <v>463</v>
      </c>
      <c r="C173" s="8" t="s">
        <v>196</v>
      </c>
      <c r="D173" s="8" t="s">
        <v>223</v>
      </c>
      <c r="E173" s="115">
        <v>313</v>
      </c>
      <c r="F173" s="7">
        <f>'прил.5'!G818</f>
        <v>11634.9</v>
      </c>
      <c r="G173" s="7">
        <f>'прил.5'!H818</f>
        <v>0</v>
      </c>
      <c r="H173" s="36">
        <f t="shared" si="42"/>
        <v>11634.9</v>
      </c>
      <c r="I173" s="7">
        <f>'прил.5'!J818</f>
        <v>0</v>
      </c>
      <c r="J173" s="36">
        <f t="shared" si="40"/>
        <v>11634.9</v>
      </c>
      <c r="K173" s="7">
        <f>'прил.5'!L818</f>
        <v>0</v>
      </c>
      <c r="L173" s="36">
        <f t="shared" si="37"/>
        <v>11634.9</v>
      </c>
      <c r="M173" s="7">
        <f>'прил.5'!N818</f>
        <v>0</v>
      </c>
      <c r="N173" s="36">
        <f t="shared" si="38"/>
        <v>11634.9</v>
      </c>
      <c r="O173" s="7">
        <f>'прил.5'!P818</f>
        <v>-10</v>
      </c>
      <c r="P173" s="36">
        <f t="shared" si="34"/>
        <v>11624.9</v>
      </c>
      <c r="Q173" s="7">
        <f>'прил.5'!R818</f>
        <v>0</v>
      </c>
      <c r="R173" s="36">
        <f t="shared" si="35"/>
        <v>11624.9</v>
      </c>
    </row>
    <row r="174" spans="1:18" ht="84.75" customHeight="1">
      <c r="A174" s="62" t="str">
        <f ca="1">IF(ISERROR(MATCH(B174,Код_КЦСР,0)),"",INDIRECT(ADDRESS(MATCH(B174,Код_КЦСР,0)+1,2,,,"КЦСР")))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74" s="44" t="s">
        <v>464</v>
      </c>
      <c r="C174" s="8"/>
      <c r="D174" s="1"/>
      <c r="E174" s="115"/>
      <c r="F174" s="7">
        <f aca="true" t="shared" si="43" ref="F174:Q178">F175</f>
        <v>12418.6</v>
      </c>
      <c r="G174" s="7">
        <f t="shared" si="43"/>
        <v>0</v>
      </c>
      <c r="H174" s="36">
        <f t="shared" si="42"/>
        <v>12418.6</v>
      </c>
      <c r="I174" s="7">
        <f t="shared" si="43"/>
        <v>0</v>
      </c>
      <c r="J174" s="36">
        <f t="shared" si="40"/>
        <v>12418.6</v>
      </c>
      <c r="K174" s="7">
        <f t="shared" si="43"/>
        <v>0</v>
      </c>
      <c r="L174" s="36">
        <f t="shared" si="37"/>
        <v>12418.6</v>
      </c>
      <c r="M174" s="7">
        <f t="shared" si="43"/>
        <v>0</v>
      </c>
      <c r="N174" s="36">
        <f t="shared" si="38"/>
        <v>12418.6</v>
      </c>
      <c r="O174" s="7">
        <f t="shared" si="43"/>
        <v>0</v>
      </c>
      <c r="P174" s="36">
        <f t="shared" si="34"/>
        <v>12418.6</v>
      </c>
      <c r="Q174" s="7">
        <f t="shared" si="43"/>
        <v>0</v>
      </c>
      <c r="R174" s="36">
        <f t="shared" si="35"/>
        <v>12418.6</v>
      </c>
    </row>
    <row r="175" spans="1:18" ht="12.75">
      <c r="A175" s="62" t="str">
        <f ca="1">IF(ISERROR(MATCH(C175,Код_Раздел,0)),"",INDIRECT(ADDRESS(MATCH(C175,Код_Раздел,0)+1,2,,,"Раздел")))</f>
        <v>Социальная политика</v>
      </c>
      <c r="B175" s="44" t="s">
        <v>464</v>
      </c>
      <c r="C175" s="8" t="s">
        <v>196</v>
      </c>
      <c r="D175" s="1"/>
      <c r="E175" s="115"/>
      <c r="F175" s="7">
        <f t="shared" si="43"/>
        <v>12418.6</v>
      </c>
      <c r="G175" s="7">
        <f t="shared" si="43"/>
        <v>0</v>
      </c>
      <c r="H175" s="36">
        <f t="shared" si="42"/>
        <v>12418.6</v>
      </c>
      <c r="I175" s="7">
        <f t="shared" si="43"/>
        <v>0</v>
      </c>
      <c r="J175" s="36">
        <f t="shared" si="40"/>
        <v>12418.6</v>
      </c>
      <c r="K175" s="7">
        <f t="shared" si="43"/>
        <v>0</v>
      </c>
      <c r="L175" s="36">
        <f t="shared" si="37"/>
        <v>12418.6</v>
      </c>
      <c r="M175" s="7">
        <f t="shared" si="43"/>
        <v>0</v>
      </c>
      <c r="N175" s="36">
        <f t="shared" si="38"/>
        <v>12418.6</v>
      </c>
      <c r="O175" s="7">
        <f t="shared" si="43"/>
        <v>0</v>
      </c>
      <c r="P175" s="36">
        <f t="shared" si="34"/>
        <v>12418.6</v>
      </c>
      <c r="Q175" s="7">
        <f t="shared" si="43"/>
        <v>0</v>
      </c>
      <c r="R175" s="36">
        <f t="shared" si="35"/>
        <v>12418.6</v>
      </c>
    </row>
    <row r="176" spans="1:18" ht="12.75">
      <c r="A176" s="78" t="s">
        <v>212</v>
      </c>
      <c r="B176" s="44" t="s">
        <v>464</v>
      </c>
      <c r="C176" s="8" t="s">
        <v>196</v>
      </c>
      <c r="D176" s="8" t="s">
        <v>224</v>
      </c>
      <c r="E176" s="115"/>
      <c r="F176" s="7">
        <f t="shared" si="43"/>
        <v>12418.6</v>
      </c>
      <c r="G176" s="7">
        <f t="shared" si="43"/>
        <v>0</v>
      </c>
      <c r="H176" s="36">
        <f t="shared" si="42"/>
        <v>12418.6</v>
      </c>
      <c r="I176" s="7">
        <f t="shared" si="43"/>
        <v>0</v>
      </c>
      <c r="J176" s="36">
        <f t="shared" si="40"/>
        <v>12418.6</v>
      </c>
      <c r="K176" s="7">
        <f t="shared" si="43"/>
        <v>0</v>
      </c>
      <c r="L176" s="36">
        <f t="shared" si="37"/>
        <v>12418.6</v>
      </c>
      <c r="M176" s="7">
        <f t="shared" si="43"/>
        <v>0</v>
      </c>
      <c r="N176" s="36">
        <f t="shared" si="38"/>
        <v>12418.6</v>
      </c>
      <c r="O176" s="7">
        <f t="shared" si="43"/>
        <v>0</v>
      </c>
      <c r="P176" s="36">
        <f t="shared" si="34"/>
        <v>12418.6</v>
      </c>
      <c r="Q176" s="7">
        <f t="shared" si="43"/>
        <v>0</v>
      </c>
      <c r="R176" s="36">
        <f t="shared" si="35"/>
        <v>12418.6</v>
      </c>
    </row>
    <row r="177" spans="1:18" ht="12.75">
      <c r="A177" s="62" t="str">
        <f ca="1">IF(ISERROR(MATCH(E177,Код_КВР,0)),"",INDIRECT(ADDRESS(MATCH(E177,Код_КВР,0)+1,2,,,"КВР")))</f>
        <v>Социальное обеспечение и иные выплаты населению</v>
      </c>
      <c r="B177" s="44" t="s">
        <v>464</v>
      </c>
      <c r="C177" s="8" t="s">
        <v>196</v>
      </c>
      <c r="D177" s="8" t="s">
        <v>224</v>
      </c>
      <c r="E177" s="115">
        <v>300</v>
      </c>
      <c r="F177" s="7">
        <f t="shared" si="43"/>
        <v>12418.6</v>
      </c>
      <c r="G177" s="7">
        <f t="shared" si="43"/>
        <v>0</v>
      </c>
      <c r="H177" s="36">
        <f t="shared" si="42"/>
        <v>12418.6</v>
      </c>
      <c r="I177" s="7">
        <f t="shared" si="43"/>
        <v>0</v>
      </c>
      <c r="J177" s="36">
        <f t="shared" si="40"/>
        <v>12418.6</v>
      </c>
      <c r="K177" s="7">
        <f t="shared" si="43"/>
        <v>0</v>
      </c>
      <c r="L177" s="36">
        <f t="shared" si="37"/>
        <v>12418.6</v>
      </c>
      <c r="M177" s="7">
        <f t="shared" si="43"/>
        <v>0</v>
      </c>
      <c r="N177" s="36">
        <f t="shared" si="38"/>
        <v>12418.6</v>
      </c>
      <c r="O177" s="7">
        <f t="shared" si="43"/>
        <v>0</v>
      </c>
      <c r="P177" s="36">
        <f t="shared" si="34"/>
        <v>12418.6</v>
      </c>
      <c r="Q177" s="7">
        <f t="shared" si="43"/>
        <v>0</v>
      </c>
      <c r="R177" s="36">
        <f t="shared" si="35"/>
        <v>12418.6</v>
      </c>
    </row>
    <row r="178" spans="1:18" ht="12.75">
      <c r="A178" s="62" t="str">
        <f ca="1">IF(ISERROR(MATCH(E178,Код_КВР,0)),"",INDIRECT(ADDRESS(MATCH(E178,Код_КВР,0)+1,2,,,"КВР")))</f>
        <v>Публичные нормативные социальные выплаты гражданам</v>
      </c>
      <c r="B178" s="44" t="s">
        <v>464</v>
      </c>
      <c r="C178" s="8" t="s">
        <v>196</v>
      </c>
      <c r="D178" s="8" t="s">
        <v>224</v>
      </c>
      <c r="E178" s="115">
        <v>310</v>
      </c>
      <c r="F178" s="7">
        <f t="shared" si="43"/>
        <v>12418.6</v>
      </c>
      <c r="G178" s="7">
        <f t="shared" si="43"/>
        <v>0</v>
      </c>
      <c r="H178" s="36">
        <f t="shared" si="42"/>
        <v>12418.6</v>
      </c>
      <c r="I178" s="7">
        <f t="shared" si="43"/>
        <v>0</v>
      </c>
      <c r="J178" s="36">
        <f t="shared" si="40"/>
        <v>12418.6</v>
      </c>
      <c r="K178" s="7">
        <f t="shared" si="43"/>
        <v>0</v>
      </c>
      <c r="L178" s="36">
        <f t="shared" si="37"/>
        <v>12418.6</v>
      </c>
      <c r="M178" s="7">
        <f t="shared" si="43"/>
        <v>0</v>
      </c>
      <c r="N178" s="36">
        <f t="shared" si="38"/>
        <v>12418.6</v>
      </c>
      <c r="O178" s="7">
        <f t="shared" si="43"/>
        <v>0</v>
      </c>
      <c r="P178" s="36">
        <f t="shared" si="34"/>
        <v>12418.6</v>
      </c>
      <c r="Q178" s="7">
        <f t="shared" si="43"/>
        <v>0</v>
      </c>
      <c r="R178" s="36">
        <f t="shared" si="35"/>
        <v>12418.6</v>
      </c>
    </row>
    <row r="179" spans="1:18" ht="33">
      <c r="A179" s="62" t="str">
        <f ca="1">IF(ISERROR(MATCH(E179,Код_КВР,0)),"",INDIRECT(ADDRESS(MATCH(E179,Код_КВР,0)+1,2,,,"КВР")))</f>
        <v>Пособия, компенсации, меры социальной поддержки по публичным нормативным обязательствам</v>
      </c>
      <c r="B179" s="44" t="s">
        <v>464</v>
      </c>
      <c r="C179" s="8" t="s">
        <v>196</v>
      </c>
      <c r="D179" s="8" t="s">
        <v>224</v>
      </c>
      <c r="E179" s="115">
        <v>313</v>
      </c>
      <c r="F179" s="7">
        <f>'прил.5'!G837</f>
        <v>12418.6</v>
      </c>
      <c r="G179" s="7">
        <f>'прил.5'!H837</f>
        <v>0</v>
      </c>
      <c r="H179" s="36">
        <f t="shared" si="42"/>
        <v>12418.6</v>
      </c>
      <c r="I179" s="7">
        <f>'прил.5'!J837</f>
        <v>0</v>
      </c>
      <c r="J179" s="36">
        <f t="shared" si="40"/>
        <v>12418.6</v>
      </c>
      <c r="K179" s="7">
        <f>'прил.5'!L837</f>
        <v>0</v>
      </c>
      <c r="L179" s="36">
        <f t="shared" si="37"/>
        <v>12418.6</v>
      </c>
      <c r="M179" s="7">
        <f>'прил.5'!N837</f>
        <v>0</v>
      </c>
      <c r="N179" s="36">
        <f t="shared" si="38"/>
        <v>12418.6</v>
      </c>
      <c r="O179" s="7">
        <f>'прил.5'!P837</f>
        <v>0</v>
      </c>
      <c r="P179" s="36">
        <f t="shared" si="34"/>
        <v>12418.6</v>
      </c>
      <c r="Q179" s="7">
        <f>'прил.5'!R837</f>
        <v>0</v>
      </c>
      <c r="R179" s="36">
        <f t="shared" si="35"/>
        <v>12418.6</v>
      </c>
    </row>
    <row r="180" spans="1:18" ht="33">
      <c r="A180" s="62" t="str">
        <f ca="1">IF(ISERROR(MATCH(B180,Код_КЦСР,0)),"",INDIRECT(ADDRESS(MATCH(B180,Код_КЦСР,0)+1,2,,,"КЦСР")))</f>
        <v>Представление лучших педагогов сферы образования к поощрению  наградами всех уровней</v>
      </c>
      <c r="B180" s="44" t="s">
        <v>465</v>
      </c>
      <c r="C180" s="8"/>
      <c r="D180" s="1"/>
      <c r="E180" s="115"/>
      <c r="F180" s="7">
        <f aca="true" t="shared" si="44" ref="F180:Q185">F181</f>
        <v>32.6</v>
      </c>
      <c r="G180" s="7">
        <f t="shared" si="44"/>
        <v>0</v>
      </c>
      <c r="H180" s="36">
        <f t="shared" si="42"/>
        <v>32.6</v>
      </c>
      <c r="I180" s="7">
        <f t="shared" si="44"/>
        <v>0</v>
      </c>
      <c r="J180" s="36">
        <f t="shared" si="40"/>
        <v>32.6</v>
      </c>
      <c r="K180" s="7">
        <f t="shared" si="44"/>
        <v>0</v>
      </c>
      <c r="L180" s="36">
        <f t="shared" si="37"/>
        <v>32.6</v>
      </c>
      <c r="M180" s="7">
        <f t="shared" si="44"/>
        <v>0</v>
      </c>
      <c r="N180" s="36">
        <f t="shared" si="38"/>
        <v>32.6</v>
      </c>
      <c r="O180" s="7">
        <f t="shared" si="44"/>
        <v>0</v>
      </c>
      <c r="P180" s="36">
        <f t="shared" si="34"/>
        <v>32.6</v>
      </c>
      <c r="Q180" s="7">
        <f t="shared" si="44"/>
        <v>0</v>
      </c>
      <c r="R180" s="36">
        <f t="shared" si="35"/>
        <v>32.6</v>
      </c>
    </row>
    <row r="181" spans="1:18" ht="51.75" customHeight="1">
      <c r="A181" s="62" t="str">
        <f ca="1">IF(ISERROR(MATCH(B181,Код_КЦСР,0)),"",INDIRECT(ADDRESS(MATCH(B181,Код_КЦСР,0)+1,2,,,"КЦСР")))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81" s="44" t="s">
        <v>467</v>
      </c>
      <c r="C181" s="8"/>
      <c r="D181" s="1"/>
      <c r="E181" s="115"/>
      <c r="F181" s="7">
        <f t="shared" si="44"/>
        <v>32.6</v>
      </c>
      <c r="G181" s="7">
        <f t="shared" si="44"/>
        <v>0</v>
      </c>
      <c r="H181" s="36">
        <f t="shared" si="42"/>
        <v>32.6</v>
      </c>
      <c r="I181" s="7">
        <f t="shared" si="44"/>
        <v>0</v>
      </c>
      <c r="J181" s="36">
        <f t="shared" si="40"/>
        <v>32.6</v>
      </c>
      <c r="K181" s="7">
        <f t="shared" si="44"/>
        <v>0</v>
      </c>
      <c r="L181" s="36">
        <f t="shared" si="37"/>
        <v>32.6</v>
      </c>
      <c r="M181" s="7">
        <f t="shared" si="44"/>
        <v>0</v>
      </c>
      <c r="N181" s="36">
        <f t="shared" si="38"/>
        <v>32.6</v>
      </c>
      <c r="O181" s="7">
        <f t="shared" si="44"/>
        <v>0</v>
      </c>
      <c r="P181" s="36">
        <f t="shared" si="34"/>
        <v>32.6</v>
      </c>
      <c r="Q181" s="7">
        <f t="shared" si="44"/>
        <v>0</v>
      </c>
      <c r="R181" s="36">
        <f t="shared" si="35"/>
        <v>32.6</v>
      </c>
    </row>
    <row r="182" spans="1:18" ht="20.25" customHeight="1">
      <c r="A182" s="62" t="str">
        <f ca="1">IF(ISERROR(MATCH(C182,Код_Раздел,0)),"",INDIRECT(ADDRESS(MATCH(C182,Код_Раздел,0)+1,2,,,"Раздел")))</f>
        <v>Образование</v>
      </c>
      <c r="B182" s="44" t="s">
        <v>467</v>
      </c>
      <c r="C182" s="8" t="s">
        <v>203</v>
      </c>
      <c r="D182" s="1"/>
      <c r="E182" s="115"/>
      <c r="F182" s="7">
        <f t="shared" si="44"/>
        <v>32.6</v>
      </c>
      <c r="G182" s="7">
        <f t="shared" si="44"/>
        <v>0</v>
      </c>
      <c r="H182" s="36">
        <f t="shared" si="42"/>
        <v>32.6</v>
      </c>
      <c r="I182" s="7">
        <f t="shared" si="44"/>
        <v>0</v>
      </c>
      <c r="J182" s="36">
        <f t="shared" si="40"/>
        <v>32.6</v>
      </c>
      <c r="K182" s="7">
        <f t="shared" si="44"/>
        <v>0</v>
      </c>
      <c r="L182" s="36">
        <f t="shared" si="37"/>
        <v>32.6</v>
      </c>
      <c r="M182" s="7">
        <f t="shared" si="44"/>
        <v>0</v>
      </c>
      <c r="N182" s="36">
        <f t="shared" si="38"/>
        <v>32.6</v>
      </c>
      <c r="O182" s="7">
        <f t="shared" si="44"/>
        <v>0</v>
      </c>
      <c r="P182" s="36">
        <f t="shared" si="34"/>
        <v>32.6</v>
      </c>
      <c r="Q182" s="7">
        <f t="shared" si="44"/>
        <v>0</v>
      </c>
      <c r="R182" s="36">
        <f t="shared" si="35"/>
        <v>32.6</v>
      </c>
    </row>
    <row r="183" spans="1:18" ht="19.5" customHeight="1">
      <c r="A183" s="12" t="s">
        <v>258</v>
      </c>
      <c r="B183" s="44" t="s">
        <v>467</v>
      </c>
      <c r="C183" s="8" t="s">
        <v>203</v>
      </c>
      <c r="D183" s="1" t="s">
        <v>222</v>
      </c>
      <c r="E183" s="115"/>
      <c r="F183" s="7">
        <f t="shared" si="44"/>
        <v>32.6</v>
      </c>
      <c r="G183" s="7">
        <f t="shared" si="44"/>
        <v>0</v>
      </c>
      <c r="H183" s="36">
        <f t="shared" si="42"/>
        <v>32.6</v>
      </c>
      <c r="I183" s="7">
        <f t="shared" si="44"/>
        <v>0</v>
      </c>
      <c r="J183" s="36">
        <f t="shared" si="40"/>
        <v>32.6</v>
      </c>
      <c r="K183" s="7">
        <f t="shared" si="44"/>
        <v>0</v>
      </c>
      <c r="L183" s="36">
        <f t="shared" si="37"/>
        <v>32.6</v>
      </c>
      <c r="M183" s="7">
        <f t="shared" si="44"/>
        <v>0</v>
      </c>
      <c r="N183" s="36">
        <f t="shared" si="38"/>
        <v>32.6</v>
      </c>
      <c r="O183" s="7">
        <f t="shared" si="44"/>
        <v>0</v>
      </c>
      <c r="P183" s="36">
        <f t="shared" si="34"/>
        <v>32.6</v>
      </c>
      <c r="Q183" s="7">
        <f t="shared" si="44"/>
        <v>0</v>
      </c>
      <c r="R183" s="36">
        <f t="shared" si="35"/>
        <v>32.6</v>
      </c>
    </row>
    <row r="184" spans="1:18" ht="19.5" customHeight="1">
      <c r="A184" s="62" t="str">
        <f ca="1">IF(ISERROR(MATCH(E184,Код_КВР,0)),"",INDIRECT(ADDRESS(MATCH(E184,Код_КВР,0)+1,2,,,"КВР")))</f>
        <v>Социальное обеспечение и иные выплаты населению</v>
      </c>
      <c r="B184" s="44" t="s">
        <v>467</v>
      </c>
      <c r="C184" s="8" t="s">
        <v>203</v>
      </c>
      <c r="D184" s="1" t="s">
        <v>222</v>
      </c>
      <c r="E184" s="115">
        <v>300</v>
      </c>
      <c r="F184" s="7">
        <f t="shared" si="44"/>
        <v>32.6</v>
      </c>
      <c r="G184" s="7">
        <f t="shared" si="44"/>
        <v>0</v>
      </c>
      <c r="H184" s="36">
        <f t="shared" si="42"/>
        <v>32.6</v>
      </c>
      <c r="I184" s="7">
        <f t="shared" si="44"/>
        <v>0</v>
      </c>
      <c r="J184" s="36">
        <f t="shared" si="40"/>
        <v>32.6</v>
      </c>
      <c r="K184" s="7">
        <f t="shared" si="44"/>
        <v>0</v>
      </c>
      <c r="L184" s="36">
        <f t="shared" si="37"/>
        <v>32.6</v>
      </c>
      <c r="M184" s="7">
        <f t="shared" si="44"/>
        <v>0</v>
      </c>
      <c r="N184" s="36">
        <f t="shared" si="38"/>
        <v>32.6</v>
      </c>
      <c r="O184" s="7">
        <f t="shared" si="44"/>
        <v>0</v>
      </c>
      <c r="P184" s="36">
        <f t="shared" si="34"/>
        <v>32.6</v>
      </c>
      <c r="Q184" s="7">
        <f t="shared" si="44"/>
        <v>0</v>
      </c>
      <c r="R184" s="36">
        <f t="shared" si="35"/>
        <v>32.6</v>
      </c>
    </row>
    <row r="185" spans="1:18" ht="18.75" customHeight="1">
      <c r="A185" s="62" t="str">
        <f ca="1">IF(ISERROR(MATCH(E185,Код_КВР,0)),"",INDIRECT(ADDRESS(MATCH(E185,Код_КВР,0)+1,2,,,"КВР")))</f>
        <v>Публичные нормативные социальные выплаты гражданам</v>
      </c>
      <c r="B185" s="44" t="s">
        <v>467</v>
      </c>
      <c r="C185" s="8" t="s">
        <v>203</v>
      </c>
      <c r="D185" s="1" t="s">
        <v>222</v>
      </c>
      <c r="E185" s="115">
        <v>310</v>
      </c>
      <c r="F185" s="7">
        <f t="shared" si="44"/>
        <v>32.6</v>
      </c>
      <c r="G185" s="7">
        <f t="shared" si="44"/>
        <v>0</v>
      </c>
      <c r="H185" s="36">
        <f t="shared" si="42"/>
        <v>32.6</v>
      </c>
      <c r="I185" s="7">
        <f t="shared" si="44"/>
        <v>0</v>
      </c>
      <c r="J185" s="36">
        <f t="shared" si="40"/>
        <v>32.6</v>
      </c>
      <c r="K185" s="7">
        <f t="shared" si="44"/>
        <v>0</v>
      </c>
      <c r="L185" s="36">
        <f t="shared" si="37"/>
        <v>32.6</v>
      </c>
      <c r="M185" s="7">
        <f t="shared" si="44"/>
        <v>0</v>
      </c>
      <c r="N185" s="36">
        <f t="shared" si="38"/>
        <v>32.6</v>
      </c>
      <c r="O185" s="7">
        <f t="shared" si="44"/>
        <v>0</v>
      </c>
      <c r="P185" s="36">
        <f t="shared" si="34"/>
        <v>32.6</v>
      </c>
      <c r="Q185" s="7">
        <f t="shared" si="44"/>
        <v>0</v>
      </c>
      <c r="R185" s="36">
        <f t="shared" si="35"/>
        <v>32.6</v>
      </c>
    </row>
    <row r="186" spans="1:18" ht="36" customHeight="1">
      <c r="A186" s="62" t="str">
        <f ca="1">IF(ISERROR(MATCH(E186,Код_КВР,0)),"",INDIRECT(ADDRESS(MATCH(E186,Код_КВР,0)+1,2,,,"КВР")))</f>
        <v>Пособия, компенсации, меры социальной поддержки по публичным нормативным обязательствам</v>
      </c>
      <c r="B186" s="44" t="s">
        <v>467</v>
      </c>
      <c r="C186" s="8" t="s">
        <v>203</v>
      </c>
      <c r="D186" s="1" t="s">
        <v>222</v>
      </c>
      <c r="E186" s="115">
        <v>313</v>
      </c>
      <c r="F186" s="7">
        <f>'прил.5'!G669</f>
        <v>32.6</v>
      </c>
      <c r="G186" s="7">
        <f>'прил.5'!H669</f>
        <v>0</v>
      </c>
      <c r="H186" s="36">
        <f t="shared" si="42"/>
        <v>32.6</v>
      </c>
      <c r="I186" s="7">
        <f>'прил.5'!J669</f>
        <v>0</v>
      </c>
      <c r="J186" s="36">
        <f t="shared" si="40"/>
        <v>32.6</v>
      </c>
      <c r="K186" s="7">
        <f>'прил.5'!L669</f>
        <v>0</v>
      </c>
      <c r="L186" s="36">
        <f t="shared" si="37"/>
        <v>32.6</v>
      </c>
      <c r="M186" s="7">
        <f>'прил.5'!N669</f>
        <v>0</v>
      </c>
      <c r="N186" s="36">
        <f t="shared" si="38"/>
        <v>32.6</v>
      </c>
      <c r="O186" s="7">
        <f>'прил.5'!P669</f>
        <v>0</v>
      </c>
      <c r="P186" s="36">
        <f t="shared" si="34"/>
        <v>32.6</v>
      </c>
      <c r="Q186" s="7">
        <f>'прил.5'!R669</f>
        <v>0</v>
      </c>
      <c r="R186" s="36">
        <f t="shared" si="35"/>
        <v>32.6</v>
      </c>
    </row>
    <row r="187" spans="1:18" ht="18.75" customHeight="1">
      <c r="A187" s="62" t="str">
        <f ca="1">IF(ISERROR(MATCH(B187,Код_КЦСР,0)),"",INDIRECT(ADDRESS(MATCH(B187,Код_КЦСР,0)+1,2,,,"КЦСР")))</f>
        <v>Одаренные дети</v>
      </c>
      <c r="B187" s="44" t="s">
        <v>468</v>
      </c>
      <c r="C187" s="8"/>
      <c r="D187" s="1"/>
      <c r="E187" s="115"/>
      <c r="F187" s="7">
        <f aca="true" t="shared" si="45" ref="F187:Q189">F188</f>
        <v>1842.8</v>
      </c>
      <c r="G187" s="7">
        <f t="shared" si="45"/>
        <v>0</v>
      </c>
      <c r="H187" s="36">
        <f t="shared" si="42"/>
        <v>1842.8</v>
      </c>
      <c r="I187" s="7">
        <f t="shared" si="45"/>
        <v>0</v>
      </c>
      <c r="J187" s="36">
        <f t="shared" si="40"/>
        <v>1842.8</v>
      </c>
      <c r="K187" s="7">
        <f t="shared" si="45"/>
        <v>0</v>
      </c>
      <c r="L187" s="36">
        <f t="shared" si="37"/>
        <v>1842.8</v>
      </c>
      <c r="M187" s="7">
        <f t="shared" si="45"/>
        <v>0</v>
      </c>
      <c r="N187" s="36">
        <f t="shared" si="38"/>
        <v>1842.8</v>
      </c>
      <c r="O187" s="7">
        <f t="shared" si="45"/>
        <v>0</v>
      </c>
      <c r="P187" s="36">
        <f t="shared" si="34"/>
        <v>1842.8</v>
      </c>
      <c r="Q187" s="7">
        <f t="shared" si="45"/>
        <v>0</v>
      </c>
      <c r="R187" s="36">
        <f t="shared" si="35"/>
        <v>1842.8</v>
      </c>
    </row>
    <row r="188" spans="1:18" ht="19.5" customHeight="1">
      <c r="A188" s="62" t="str">
        <f ca="1">IF(ISERROR(MATCH(C188,Код_Раздел,0)),"",INDIRECT(ADDRESS(MATCH(C188,Код_Раздел,0)+1,2,,,"Раздел")))</f>
        <v>Образование</v>
      </c>
      <c r="B188" s="44" t="s">
        <v>468</v>
      </c>
      <c r="C188" s="8" t="s">
        <v>203</v>
      </c>
      <c r="D188" s="1"/>
      <c r="E188" s="115"/>
      <c r="F188" s="7">
        <f t="shared" si="45"/>
        <v>1842.8</v>
      </c>
      <c r="G188" s="7">
        <f t="shared" si="45"/>
        <v>0</v>
      </c>
      <c r="H188" s="36">
        <f t="shared" si="42"/>
        <v>1842.8</v>
      </c>
      <c r="I188" s="7">
        <f t="shared" si="45"/>
        <v>0</v>
      </c>
      <c r="J188" s="36">
        <f t="shared" si="40"/>
        <v>1842.8</v>
      </c>
      <c r="K188" s="7">
        <f t="shared" si="45"/>
        <v>0</v>
      </c>
      <c r="L188" s="36">
        <f t="shared" si="37"/>
        <v>1842.8</v>
      </c>
      <c r="M188" s="7">
        <f t="shared" si="45"/>
        <v>0</v>
      </c>
      <c r="N188" s="36">
        <f t="shared" si="38"/>
        <v>1842.8</v>
      </c>
      <c r="O188" s="7">
        <f t="shared" si="45"/>
        <v>0</v>
      </c>
      <c r="P188" s="36">
        <f t="shared" si="34"/>
        <v>1842.8</v>
      </c>
      <c r="Q188" s="7">
        <f t="shared" si="45"/>
        <v>0</v>
      </c>
      <c r="R188" s="36">
        <f t="shared" si="35"/>
        <v>1842.8</v>
      </c>
    </row>
    <row r="189" spans="1:18" ht="18.75" customHeight="1">
      <c r="A189" s="12" t="s">
        <v>259</v>
      </c>
      <c r="B189" s="44" t="s">
        <v>468</v>
      </c>
      <c r="C189" s="8" t="s">
        <v>203</v>
      </c>
      <c r="D189" s="1" t="s">
        <v>227</v>
      </c>
      <c r="E189" s="115"/>
      <c r="F189" s="7">
        <f t="shared" si="45"/>
        <v>1842.8</v>
      </c>
      <c r="G189" s="7">
        <f t="shared" si="45"/>
        <v>0</v>
      </c>
      <c r="H189" s="36">
        <f t="shared" si="42"/>
        <v>1842.8</v>
      </c>
      <c r="I189" s="7">
        <f t="shared" si="45"/>
        <v>0</v>
      </c>
      <c r="J189" s="36">
        <f t="shared" si="40"/>
        <v>1842.8</v>
      </c>
      <c r="K189" s="7">
        <f t="shared" si="45"/>
        <v>0</v>
      </c>
      <c r="L189" s="36">
        <f t="shared" si="37"/>
        <v>1842.8</v>
      </c>
      <c r="M189" s="7">
        <f t="shared" si="45"/>
        <v>0</v>
      </c>
      <c r="N189" s="36">
        <f t="shared" si="38"/>
        <v>1842.8</v>
      </c>
      <c r="O189" s="7">
        <f t="shared" si="45"/>
        <v>0</v>
      </c>
      <c r="P189" s="36">
        <f t="shared" si="34"/>
        <v>1842.8</v>
      </c>
      <c r="Q189" s="7">
        <f t="shared" si="45"/>
        <v>0</v>
      </c>
      <c r="R189" s="36">
        <f t="shared" si="35"/>
        <v>1842.8</v>
      </c>
    </row>
    <row r="190" spans="1:18" ht="35.25" customHeight="1">
      <c r="A190" s="62" t="str">
        <f ca="1">IF(ISERROR(MATCH(E190,Код_КВР,0)),"",INDIRECT(ADDRESS(MATCH(E190,Код_КВР,0)+1,2,,,"КВР")))</f>
        <v>Предоставление субсидий бюджетным, автономным учреждениям и иным некоммерческим организациям</v>
      </c>
      <c r="B190" s="44" t="s">
        <v>468</v>
      </c>
      <c r="C190" s="8" t="s">
        <v>203</v>
      </c>
      <c r="D190" s="1" t="s">
        <v>227</v>
      </c>
      <c r="E190" s="115">
        <v>600</v>
      </c>
      <c r="F190" s="7">
        <f>F191+F193</f>
        <v>1842.8</v>
      </c>
      <c r="G190" s="7">
        <f>G191+G193</f>
        <v>0</v>
      </c>
      <c r="H190" s="36">
        <f t="shared" si="42"/>
        <v>1842.8</v>
      </c>
      <c r="I190" s="7">
        <f>I191+I193</f>
        <v>0</v>
      </c>
      <c r="J190" s="36">
        <f t="shared" si="40"/>
        <v>1842.8</v>
      </c>
      <c r="K190" s="7">
        <f>K191+K193</f>
        <v>0</v>
      </c>
      <c r="L190" s="36">
        <f t="shared" si="37"/>
        <v>1842.8</v>
      </c>
      <c r="M190" s="7">
        <f>M191+M193</f>
        <v>0</v>
      </c>
      <c r="N190" s="36">
        <f t="shared" si="38"/>
        <v>1842.8</v>
      </c>
      <c r="O190" s="7">
        <f>O191+O193</f>
        <v>0</v>
      </c>
      <c r="P190" s="36">
        <f t="shared" si="34"/>
        <v>1842.8</v>
      </c>
      <c r="Q190" s="7">
        <f>Q191+Q193</f>
        <v>0</v>
      </c>
      <c r="R190" s="36">
        <f t="shared" si="35"/>
        <v>1842.8</v>
      </c>
    </row>
    <row r="191" spans="1:18" ht="24" customHeight="1">
      <c r="A191" s="62" t="str">
        <f ca="1">IF(ISERROR(MATCH(E191,Код_КВР,0)),"",INDIRECT(ADDRESS(MATCH(E191,Код_КВР,0)+1,2,,,"КВР")))</f>
        <v>Субсидии бюджетным учреждениям</v>
      </c>
      <c r="B191" s="44" t="s">
        <v>468</v>
      </c>
      <c r="C191" s="8" t="s">
        <v>203</v>
      </c>
      <c r="D191" s="1" t="s">
        <v>227</v>
      </c>
      <c r="E191" s="115">
        <v>610</v>
      </c>
      <c r="F191" s="7">
        <f>'прил.5'!G731</f>
        <v>1808.8</v>
      </c>
      <c r="G191" s="7">
        <f>'прил.5'!H731</f>
        <v>0</v>
      </c>
      <c r="H191" s="36">
        <f t="shared" si="42"/>
        <v>1808.8</v>
      </c>
      <c r="I191" s="7">
        <f>'прил.5'!J731</f>
        <v>0</v>
      </c>
      <c r="J191" s="36">
        <f t="shared" si="40"/>
        <v>1808.8</v>
      </c>
      <c r="K191" s="7">
        <f>'прил.5'!L731</f>
        <v>0</v>
      </c>
      <c r="L191" s="36">
        <f t="shared" si="37"/>
        <v>1808.8</v>
      </c>
      <c r="M191" s="7">
        <f>'прил.5'!N731</f>
        <v>0</v>
      </c>
      <c r="N191" s="36">
        <f t="shared" si="38"/>
        <v>1808.8</v>
      </c>
      <c r="O191" s="7">
        <f>'прил.5'!P731</f>
        <v>0</v>
      </c>
      <c r="P191" s="36">
        <f t="shared" si="34"/>
        <v>1808.8</v>
      </c>
      <c r="Q191" s="7">
        <f>'прил.5'!R731</f>
        <v>0</v>
      </c>
      <c r="R191" s="36">
        <f t="shared" si="35"/>
        <v>1808.8</v>
      </c>
    </row>
    <row r="192" spans="1:18" ht="21" customHeight="1">
      <c r="A192" s="62" t="str">
        <f ca="1">IF(ISERROR(MATCH(E192,Код_КВР,0)),"",INDIRECT(ADDRESS(MATCH(E192,Код_КВР,0)+1,2,,,"КВР")))</f>
        <v>Субсидии бюджетным учреждениям на иные цели</v>
      </c>
      <c r="B192" s="44" t="s">
        <v>468</v>
      </c>
      <c r="C192" s="8" t="s">
        <v>203</v>
      </c>
      <c r="D192" s="1" t="s">
        <v>227</v>
      </c>
      <c r="E192" s="115">
        <v>612</v>
      </c>
      <c r="F192" s="7">
        <f>'прил.5'!G732</f>
        <v>1808.8</v>
      </c>
      <c r="G192" s="7">
        <f>'прил.5'!H732</f>
        <v>0</v>
      </c>
      <c r="H192" s="36">
        <f t="shared" si="42"/>
        <v>1808.8</v>
      </c>
      <c r="I192" s="7">
        <f>'прил.5'!J732</f>
        <v>0</v>
      </c>
      <c r="J192" s="36">
        <f t="shared" si="40"/>
        <v>1808.8</v>
      </c>
      <c r="K192" s="7">
        <f>'прил.5'!L732</f>
        <v>0</v>
      </c>
      <c r="L192" s="36">
        <f t="shared" si="37"/>
        <v>1808.8</v>
      </c>
      <c r="M192" s="7">
        <f>'прил.5'!N732</f>
        <v>0</v>
      </c>
      <c r="N192" s="36">
        <f t="shared" si="38"/>
        <v>1808.8</v>
      </c>
      <c r="O192" s="7">
        <f>'прил.5'!P732</f>
        <v>0</v>
      </c>
      <c r="P192" s="36">
        <f t="shared" si="34"/>
        <v>1808.8</v>
      </c>
      <c r="Q192" s="7">
        <f>'прил.5'!R732</f>
        <v>0</v>
      </c>
      <c r="R192" s="36">
        <f t="shared" si="35"/>
        <v>1808.8</v>
      </c>
    </row>
    <row r="193" spans="1:18" ht="18.75" customHeight="1">
      <c r="A193" s="62" t="str">
        <f ca="1">IF(ISERROR(MATCH(E193,Код_КВР,0)),"",INDIRECT(ADDRESS(MATCH(E193,Код_КВР,0)+1,2,,,"КВР")))</f>
        <v>Субсидии автономным учреждениям</v>
      </c>
      <c r="B193" s="44" t="s">
        <v>468</v>
      </c>
      <c r="C193" s="8" t="s">
        <v>203</v>
      </c>
      <c r="D193" s="1" t="s">
        <v>227</v>
      </c>
      <c r="E193" s="115">
        <v>620</v>
      </c>
      <c r="F193" s="7">
        <f>F194</f>
        <v>34</v>
      </c>
      <c r="G193" s="7">
        <f>G194</f>
        <v>0</v>
      </c>
      <c r="H193" s="36">
        <f t="shared" si="42"/>
        <v>34</v>
      </c>
      <c r="I193" s="7">
        <f>I194</f>
        <v>0</v>
      </c>
      <c r="J193" s="36">
        <f t="shared" si="40"/>
        <v>34</v>
      </c>
      <c r="K193" s="7">
        <f>K194</f>
        <v>0</v>
      </c>
      <c r="L193" s="36">
        <f t="shared" si="37"/>
        <v>34</v>
      </c>
      <c r="M193" s="7">
        <f>M194</f>
        <v>0</v>
      </c>
      <c r="N193" s="36">
        <f t="shared" si="38"/>
        <v>34</v>
      </c>
      <c r="O193" s="7">
        <f>O194</f>
        <v>0</v>
      </c>
      <c r="P193" s="36">
        <f t="shared" si="34"/>
        <v>34</v>
      </c>
      <c r="Q193" s="7">
        <f>Q194</f>
        <v>0</v>
      </c>
      <c r="R193" s="36">
        <f t="shared" si="35"/>
        <v>34</v>
      </c>
    </row>
    <row r="194" spans="1:18" ht="23.25" customHeight="1">
      <c r="A194" s="62" t="str">
        <f ca="1">IF(ISERROR(MATCH(E194,Код_КВР,0)),"",INDIRECT(ADDRESS(MATCH(E194,Код_КВР,0)+1,2,,,"КВР")))</f>
        <v>Субсидии автономным учреждениям на иные цели</v>
      </c>
      <c r="B194" s="44" t="s">
        <v>468</v>
      </c>
      <c r="C194" s="8" t="s">
        <v>203</v>
      </c>
      <c r="D194" s="1" t="s">
        <v>227</v>
      </c>
      <c r="E194" s="115">
        <v>622</v>
      </c>
      <c r="F194" s="7">
        <f>'прил.5'!G734</f>
        <v>34</v>
      </c>
      <c r="G194" s="7">
        <f>'прил.5'!H734</f>
        <v>0</v>
      </c>
      <c r="H194" s="36">
        <f t="shared" si="42"/>
        <v>34</v>
      </c>
      <c r="I194" s="7">
        <f>'прил.5'!J734</f>
        <v>0</v>
      </c>
      <c r="J194" s="36">
        <f t="shared" si="40"/>
        <v>34</v>
      </c>
      <c r="K194" s="7">
        <f>'прил.5'!L734</f>
        <v>0</v>
      </c>
      <c r="L194" s="36">
        <f t="shared" si="37"/>
        <v>34</v>
      </c>
      <c r="M194" s="7">
        <f>'прил.5'!N734</f>
        <v>0</v>
      </c>
      <c r="N194" s="36">
        <f t="shared" si="38"/>
        <v>34</v>
      </c>
      <c r="O194" s="7">
        <f>'прил.5'!P734</f>
        <v>0</v>
      </c>
      <c r="P194" s="36">
        <f t="shared" si="34"/>
        <v>34</v>
      </c>
      <c r="Q194" s="7">
        <f>'прил.5'!R734</f>
        <v>0</v>
      </c>
      <c r="R194" s="36">
        <f t="shared" si="35"/>
        <v>34</v>
      </c>
    </row>
    <row r="195" spans="1:18" ht="36.75" customHeight="1">
      <c r="A195" s="62" t="str">
        <f ca="1">IF(ISERROR(MATCH(B195,Код_КЦСР,0)),"",INDIRECT(ADDRESS(MATCH(B195,Код_КЦСР,0)+1,2,,,"КЦСР")))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95" s="44" t="s">
        <v>470</v>
      </c>
      <c r="C195" s="8"/>
      <c r="D195" s="1"/>
      <c r="E195" s="115"/>
      <c r="F195" s="7">
        <f>F196</f>
        <v>47574.4</v>
      </c>
      <c r="G195" s="7">
        <f>G196</f>
        <v>0</v>
      </c>
      <c r="H195" s="36">
        <f t="shared" si="42"/>
        <v>47574.4</v>
      </c>
      <c r="I195" s="7">
        <f>I196</f>
        <v>-10964.4</v>
      </c>
      <c r="J195" s="36">
        <f t="shared" si="40"/>
        <v>36610</v>
      </c>
      <c r="K195" s="7">
        <f>K196</f>
        <v>0</v>
      </c>
      <c r="L195" s="36">
        <f t="shared" si="37"/>
        <v>36610</v>
      </c>
      <c r="M195" s="7">
        <f>M196</f>
        <v>5000</v>
      </c>
      <c r="N195" s="36">
        <f t="shared" si="38"/>
        <v>41610</v>
      </c>
      <c r="O195" s="7">
        <f>O196</f>
        <v>0</v>
      </c>
      <c r="P195" s="36">
        <f t="shared" si="34"/>
        <v>41610</v>
      </c>
      <c r="Q195" s="7">
        <f>Q196</f>
        <v>0</v>
      </c>
      <c r="R195" s="36">
        <f t="shared" si="35"/>
        <v>41610</v>
      </c>
    </row>
    <row r="196" spans="1:18" ht="20.25" customHeight="1">
      <c r="A196" s="62" t="str">
        <f ca="1">IF(ISERROR(MATCH(C196,Код_Раздел,0)),"",INDIRECT(ADDRESS(MATCH(C196,Код_Раздел,0)+1,2,,,"Раздел")))</f>
        <v>Образование</v>
      </c>
      <c r="B196" s="44" t="s">
        <v>470</v>
      </c>
      <c r="C196" s="8" t="s">
        <v>203</v>
      </c>
      <c r="D196" s="1"/>
      <c r="E196" s="115"/>
      <c r="F196" s="7">
        <f>F197</f>
        <v>47574.4</v>
      </c>
      <c r="G196" s="7">
        <f>G197</f>
        <v>0</v>
      </c>
      <c r="H196" s="36">
        <f t="shared" si="42"/>
        <v>47574.4</v>
      </c>
      <c r="I196" s="7">
        <f>I197</f>
        <v>-10964.4</v>
      </c>
      <c r="J196" s="36">
        <f t="shared" si="40"/>
        <v>36610</v>
      </c>
      <c r="K196" s="7">
        <f>K197</f>
        <v>0</v>
      </c>
      <c r="L196" s="36">
        <f t="shared" si="37"/>
        <v>36610</v>
      </c>
      <c r="M196" s="7">
        <f>M197</f>
        <v>5000</v>
      </c>
      <c r="N196" s="36">
        <f t="shared" si="38"/>
        <v>41610</v>
      </c>
      <c r="O196" s="7">
        <f>O197</f>
        <v>0</v>
      </c>
      <c r="P196" s="36">
        <f t="shared" si="34"/>
        <v>41610</v>
      </c>
      <c r="Q196" s="7">
        <f>Q197</f>
        <v>0</v>
      </c>
      <c r="R196" s="36">
        <f t="shared" si="35"/>
        <v>41610</v>
      </c>
    </row>
    <row r="197" spans="1:18" ht="19.5" customHeight="1">
      <c r="A197" s="12" t="s">
        <v>259</v>
      </c>
      <c r="B197" s="44" t="s">
        <v>470</v>
      </c>
      <c r="C197" s="8" t="s">
        <v>203</v>
      </c>
      <c r="D197" s="1" t="s">
        <v>227</v>
      </c>
      <c r="E197" s="115"/>
      <c r="F197" s="7">
        <f>F198+F201</f>
        <v>47574.4</v>
      </c>
      <c r="G197" s="7">
        <f>G198+G201</f>
        <v>0</v>
      </c>
      <c r="H197" s="36">
        <f t="shared" si="42"/>
        <v>47574.4</v>
      </c>
      <c r="I197" s="7">
        <f>I198+I201</f>
        <v>-10964.4</v>
      </c>
      <c r="J197" s="36">
        <f t="shared" si="40"/>
        <v>36610</v>
      </c>
      <c r="K197" s="7">
        <f>K198+K201</f>
        <v>0</v>
      </c>
      <c r="L197" s="36">
        <f t="shared" si="37"/>
        <v>36610</v>
      </c>
      <c r="M197" s="7">
        <f>M198+M201</f>
        <v>5000</v>
      </c>
      <c r="N197" s="36">
        <f t="shared" si="38"/>
        <v>41610</v>
      </c>
      <c r="O197" s="7">
        <f>O198+O201</f>
        <v>0</v>
      </c>
      <c r="P197" s="36">
        <f t="shared" si="34"/>
        <v>41610</v>
      </c>
      <c r="Q197" s="7">
        <f>Q198+Q201</f>
        <v>0</v>
      </c>
      <c r="R197" s="36">
        <f t="shared" si="35"/>
        <v>41610</v>
      </c>
    </row>
    <row r="198" spans="1:18" ht="20.25" customHeight="1">
      <c r="A198" s="62" t="str">
        <f aca="true" t="shared" si="46" ref="A198:A205">IF(ISERROR(MATCH(E198,Код_КВР,0)),"",INDIRECT(ADDRESS(MATCH(E198,Код_КВР,0)+1,2,,,"КВР")))</f>
        <v>Закупка товаров, работ и услуг для муниципальных нужд</v>
      </c>
      <c r="B198" s="44" t="s">
        <v>470</v>
      </c>
      <c r="C198" s="8" t="s">
        <v>203</v>
      </c>
      <c r="D198" s="1" t="s">
        <v>227</v>
      </c>
      <c r="E198" s="115">
        <v>200</v>
      </c>
      <c r="F198" s="7">
        <f>F199</f>
        <v>7200</v>
      </c>
      <c r="G198" s="7">
        <f>G199</f>
        <v>0</v>
      </c>
      <c r="H198" s="36">
        <f t="shared" si="42"/>
        <v>7200</v>
      </c>
      <c r="I198" s="7">
        <f>I199</f>
        <v>-4473.1</v>
      </c>
      <c r="J198" s="36">
        <f t="shared" si="40"/>
        <v>2726.8999999999996</v>
      </c>
      <c r="K198" s="7">
        <f>K199</f>
        <v>0</v>
      </c>
      <c r="L198" s="36">
        <f t="shared" si="37"/>
        <v>2726.8999999999996</v>
      </c>
      <c r="M198" s="7">
        <f>M199</f>
        <v>0</v>
      </c>
      <c r="N198" s="36">
        <f t="shared" si="38"/>
        <v>2726.8999999999996</v>
      </c>
      <c r="O198" s="7">
        <f>O199</f>
        <v>0</v>
      </c>
      <c r="P198" s="36">
        <f t="shared" si="34"/>
        <v>2726.8999999999996</v>
      </c>
      <c r="Q198" s="7">
        <f>Q199</f>
        <v>0</v>
      </c>
      <c r="R198" s="36">
        <f t="shared" si="35"/>
        <v>2726.8999999999996</v>
      </c>
    </row>
    <row r="199" spans="1:18" ht="36.75" customHeight="1">
      <c r="A199" s="62" t="str">
        <f ca="1" t="shared" si="46"/>
        <v>Иные закупки товаров, работ и услуг для обеспечения муниципальных нужд</v>
      </c>
      <c r="B199" s="44" t="s">
        <v>470</v>
      </c>
      <c r="C199" s="8" t="s">
        <v>203</v>
      </c>
      <c r="D199" s="1" t="s">
        <v>227</v>
      </c>
      <c r="E199" s="115">
        <v>240</v>
      </c>
      <c r="F199" s="7">
        <f>F200</f>
        <v>7200</v>
      </c>
      <c r="G199" s="7">
        <f>G200</f>
        <v>0</v>
      </c>
      <c r="H199" s="36">
        <f t="shared" si="42"/>
        <v>7200</v>
      </c>
      <c r="I199" s="7">
        <f>I200</f>
        <v>-4473.1</v>
      </c>
      <c r="J199" s="36">
        <f t="shared" si="40"/>
        <v>2726.8999999999996</v>
      </c>
      <c r="K199" s="7">
        <f>K200</f>
        <v>0</v>
      </c>
      <c r="L199" s="36">
        <f t="shared" si="37"/>
        <v>2726.8999999999996</v>
      </c>
      <c r="M199" s="7">
        <f>M200</f>
        <v>0</v>
      </c>
      <c r="N199" s="36">
        <f t="shared" si="38"/>
        <v>2726.8999999999996</v>
      </c>
      <c r="O199" s="7">
        <f>O200</f>
        <v>0</v>
      </c>
      <c r="P199" s="36">
        <f t="shared" si="34"/>
        <v>2726.8999999999996</v>
      </c>
      <c r="Q199" s="7">
        <f>Q200</f>
        <v>0</v>
      </c>
      <c r="R199" s="36">
        <f t="shared" si="35"/>
        <v>2726.8999999999996</v>
      </c>
    </row>
    <row r="200" spans="1:18" ht="36" customHeight="1">
      <c r="A200" s="62" t="str">
        <f ca="1" t="shared" si="46"/>
        <v xml:space="preserve">Прочая закупка товаров, работ и услуг для обеспечения муниципальных нужд         </v>
      </c>
      <c r="B200" s="44" t="s">
        <v>470</v>
      </c>
      <c r="C200" s="8" t="s">
        <v>203</v>
      </c>
      <c r="D200" s="1" t="s">
        <v>227</v>
      </c>
      <c r="E200" s="115">
        <v>244</v>
      </c>
      <c r="F200" s="7">
        <f>'прил.5'!G738</f>
        <v>7200</v>
      </c>
      <c r="G200" s="7">
        <f>'прил.5'!H738</f>
        <v>0</v>
      </c>
      <c r="H200" s="36">
        <f t="shared" si="42"/>
        <v>7200</v>
      </c>
      <c r="I200" s="7">
        <f>'прил.5'!J738</f>
        <v>-4473.1</v>
      </c>
      <c r="J200" s="36">
        <f t="shared" si="40"/>
        <v>2726.8999999999996</v>
      </c>
      <c r="K200" s="7">
        <f>'прил.5'!L738</f>
        <v>0</v>
      </c>
      <c r="L200" s="36">
        <f t="shared" si="37"/>
        <v>2726.8999999999996</v>
      </c>
      <c r="M200" s="7">
        <f>'прил.5'!N738</f>
        <v>0</v>
      </c>
      <c r="N200" s="36">
        <f t="shared" si="38"/>
        <v>2726.8999999999996</v>
      </c>
      <c r="O200" s="7">
        <f>'прил.5'!P738</f>
        <v>0</v>
      </c>
      <c r="P200" s="36">
        <f t="shared" si="34"/>
        <v>2726.8999999999996</v>
      </c>
      <c r="Q200" s="7">
        <f>'прил.5'!R738</f>
        <v>0</v>
      </c>
      <c r="R200" s="36">
        <f t="shared" si="35"/>
        <v>2726.8999999999996</v>
      </c>
    </row>
    <row r="201" spans="1:18" ht="36.75" customHeight="1">
      <c r="A201" s="62" t="str">
        <f ca="1" t="shared" si="46"/>
        <v>Предоставление субсидий бюджетным, автономным учреждениям и иным некоммерческим организациям</v>
      </c>
      <c r="B201" s="44" t="s">
        <v>470</v>
      </c>
      <c r="C201" s="8" t="s">
        <v>203</v>
      </c>
      <c r="D201" s="1" t="s">
        <v>227</v>
      </c>
      <c r="E201" s="115">
        <v>600</v>
      </c>
      <c r="F201" s="7">
        <f>F202+F204</f>
        <v>40374.4</v>
      </c>
      <c r="G201" s="7">
        <f>G202+G204</f>
        <v>0</v>
      </c>
      <c r="H201" s="36">
        <f t="shared" si="42"/>
        <v>40374.4</v>
      </c>
      <c r="I201" s="7">
        <f>I202+I204</f>
        <v>-6491.299999999999</v>
      </c>
      <c r="J201" s="36">
        <f t="shared" si="40"/>
        <v>33883.100000000006</v>
      </c>
      <c r="K201" s="7">
        <f>K202+K204</f>
        <v>0</v>
      </c>
      <c r="L201" s="36">
        <f t="shared" si="37"/>
        <v>33883.100000000006</v>
      </c>
      <c r="M201" s="7">
        <f>M202+M204</f>
        <v>5000</v>
      </c>
      <c r="N201" s="36">
        <f t="shared" si="38"/>
        <v>38883.100000000006</v>
      </c>
      <c r="O201" s="7">
        <f>O202+O204</f>
        <v>0</v>
      </c>
      <c r="P201" s="36">
        <f t="shared" si="34"/>
        <v>38883.100000000006</v>
      </c>
      <c r="Q201" s="7">
        <f>Q202+Q204</f>
        <v>0</v>
      </c>
      <c r="R201" s="36">
        <f t="shared" si="35"/>
        <v>38883.100000000006</v>
      </c>
    </row>
    <row r="202" spans="1:18" ht="18.75" customHeight="1">
      <c r="A202" s="62" t="str">
        <f ca="1" t="shared" si="46"/>
        <v>Субсидии бюджетным учреждениям</v>
      </c>
      <c r="B202" s="44" t="s">
        <v>470</v>
      </c>
      <c r="C202" s="8" t="s">
        <v>203</v>
      </c>
      <c r="D202" s="1" t="s">
        <v>227</v>
      </c>
      <c r="E202" s="115">
        <v>610</v>
      </c>
      <c r="F202" s="7">
        <f>F203</f>
        <v>36781.3</v>
      </c>
      <c r="G202" s="7">
        <f>G203</f>
        <v>0</v>
      </c>
      <c r="H202" s="36">
        <f t="shared" si="42"/>
        <v>36781.3</v>
      </c>
      <c r="I202" s="7">
        <f>I203</f>
        <v>-6591.299999999999</v>
      </c>
      <c r="J202" s="36">
        <f t="shared" si="40"/>
        <v>30190.000000000004</v>
      </c>
      <c r="K202" s="7">
        <f>K203</f>
        <v>0</v>
      </c>
      <c r="L202" s="36">
        <f t="shared" si="37"/>
        <v>30190.000000000004</v>
      </c>
      <c r="M202" s="7">
        <f>M203</f>
        <v>5000</v>
      </c>
      <c r="N202" s="36">
        <f t="shared" si="38"/>
        <v>35190</v>
      </c>
      <c r="O202" s="7">
        <f>O203</f>
        <v>0</v>
      </c>
      <c r="P202" s="36">
        <f t="shared" si="34"/>
        <v>35190</v>
      </c>
      <c r="Q202" s="7">
        <f>Q203</f>
        <v>2297.6</v>
      </c>
      <c r="R202" s="36">
        <f t="shared" si="35"/>
        <v>37487.6</v>
      </c>
    </row>
    <row r="203" spans="1:18" ht="20.25" customHeight="1">
      <c r="A203" s="62" t="str">
        <f ca="1" t="shared" si="46"/>
        <v>Субсидии бюджетным учреждениям на иные цели</v>
      </c>
      <c r="B203" s="44" t="s">
        <v>470</v>
      </c>
      <c r="C203" s="8" t="s">
        <v>203</v>
      </c>
      <c r="D203" s="1" t="s">
        <v>227</v>
      </c>
      <c r="E203" s="115">
        <v>612</v>
      </c>
      <c r="F203" s="7">
        <f>'прил.5'!G741</f>
        <v>36781.3</v>
      </c>
      <c r="G203" s="7">
        <f>'прил.5'!H741</f>
        <v>0</v>
      </c>
      <c r="H203" s="36">
        <f t="shared" si="42"/>
        <v>36781.3</v>
      </c>
      <c r="I203" s="7">
        <f>'прил.5'!J741</f>
        <v>-6591.299999999999</v>
      </c>
      <c r="J203" s="36">
        <f t="shared" si="40"/>
        <v>30190.000000000004</v>
      </c>
      <c r="K203" s="7">
        <f>'прил.5'!L741</f>
        <v>0</v>
      </c>
      <c r="L203" s="36">
        <f t="shared" si="37"/>
        <v>30190.000000000004</v>
      </c>
      <c r="M203" s="7">
        <f>'прил.5'!N741</f>
        <v>5000</v>
      </c>
      <c r="N203" s="36">
        <f t="shared" si="38"/>
        <v>35190</v>
      </c>
      <c r="O203" s="7">
        <f>'прил.5'!P741</f>
        <v>0</v>
      </c>
      <c r="P203" s="36">
        <f t="shared" si="34"/>
        <v>35190</v>
      </c>
      <c r="Q203" s="7">
        <f>'прил.5'!R741</f>
        <v>2297.6</v>
      </c>
      <c r="R203" s="36">
        <f t="shared" si="35"/>
        <v>37487.6</v>
      </c>
    </row>
    <row r="204" spans="1:18" ht="20.25" customHeight="1">
      <c r="A204" s="62" t="str">
        <f ca="1" t="shared" si="46"/>
        <v>Субсидии автономным учреждениям</v>
      </c>
      <c r="B204" s="44" t="s">
        <v>470</v>
      </c>
      <c r="C204" s="8" t="s">
        <v>203</v>
      </c>
      <c r="D204" s="1" t="s">
        <v>227</v>
      </c>
      <c r="E204" s="115">
        <v>620</v>
      </c>
      <c r="F204" s="7">
        <f>F205</f>
        <v>3593.1</v>
      </c>
      <c r="G204" s="7">
        <f>G205</f>
        <v>0</v>
      </c>
      <c r="H204" s="36">
        <f t="shared" si="42"/>
        <v>3593.1</v>
      </c>
      <c r="I204" s="7">
        <f>I205</f>
        <v>100</v>
      </c>
      <c r="J204" s="36">
        <f t="shared" si="40"/>
        <v>3693.1</v>
      </c>
      <c r="K204" s="7">
        <f>K205</f>
        <v>0</v>
      </c>
      <c r="L204" s="36">
        <f t="shared" si="37"/>
        <v>3693.1</v>
      </c>
      <c r="M204" s="7">
        <f>M205</f>
        <v>0</v>
      </c>
      <c r="N204" s="36">
        <f t="shared" si="38"/>
        <v>3693.1</v>
      </c>
      <c r="O204" s="7">
        <f>O205</f>
        <v>0</v>
      </c>
      <c r="P204" s="36">
        <f t="shared" si="34"/>
        <v>3693.1</v>
      </c>
      <c r="Q204" s="7">
        <f>Q205</f>
        <v>-2297.6</v>
      </c>
      <c r="R204" s="36">
        <f t="shared" si="35"/>
        <v>1395.5</v>
      </c>
    </row>
    <row r="205" spans="1:18" ht="21" customHeight="1">
      <c r="A205" s="62" t="str">
        <f ca="1" t="shared" si="46"/>
        <v>Субсидии автономным учреждениям на иные цели</v>
      </c>
      <c r="B205" s="44" t="s">
        <v>470</v>
      </c>
      <c r="C205" s="8" t="s">
        <v>203</v>
      </c>
      <c r="D205" s="1" t="s">
        <v>227</v>
      </c>
      <c r="E205" s="115">
        <v>622</v>
      </c>
      <c r="F205" s="7">
        <f>'прил.5'!G743</f>
        <v>3593.1</v>
      </c>
      <c r="G205" s="7">
        <f>'прил.5'!H743</f>
        <v>0</v>
      </c>
      <c r="H205" s="36">
        <f t="shared" si="42"/>
        <v>3593.1</v>
      </c>
      <c r="I205" s="7">
        <f>'прил.5'!J743</f>
        <v>100</v>
      </c>
      <c r="J205" s="36">
        <f t="shared" si="40"/>
        <v>3693.1</v>
      </c>
      <c r="K205" s="7">
        <f>'прил.5'!L743</f>
        <v>0</v>
      </c>
      <c r="L205" s="36">
        <f t="shared" si="37"/>
        <v>3693.1</v>
      </c>
      <c r="M205" s="7">
        <f>'прил.5'!N743</f>
        <v>0</v>
      </c>
      <c r="N205" s="36">
        <f t="shared" si="38"/>
        <v>3693.1</v>
      </c>
      <c r="O205" s="7">
        <f>'прил.5'!P743</f>
        <v>0</v>
      </c>
      <c r="P205" s="36">
        <f t="shared" si="34"/>
        <v>3693.1</v>
      </c>
      <c r="Q205" s="7">
        <f>'прил.5'!R743</f>
        <v>-2297.6</v>
      </c>
      <c r="R205" s="36">
        <f t="shared" si="35"/>
        <v>1395.5</v>
      </c>
    </row>
    <row r="206" spans="1:18" ht="37.5" customHeight="1">
      <c r="A206" s="62" t="str">
        <f ca="1">IF(ISERROR(MATCH(B206,Код_КЦСР,0)),"",INDIRECT(ADDRESS(MATCH(B206,Код_КЦСР,0)+1,2,,,"КЦСР")))</f>
        <v>Социально-педагогическая поддержка детей-сирот и детей, оставшихся без попечения родителей</v>
      </c>
      <c r="B206" s="44" t="s">
        <v>420</v>
      </c>
      <c r="C206" s="8"/>
      <c r="D206" s="1"/>
      <c r="E206" s="115"/>
      <c r="F206" s="7">
        <f>F207+F226</f>
        <v>183929.7</v>
      </c>
      <c r="G206" s="7">
        <f>G207+G226</f>
        <v>0</v>
      </c>
      <c r="H206" s="36">
        <f t="shared" si="42"/>
        <v>183929.7</v>
      </c>
      <c r="I206" s="7">
        <f>I207+I226</f>
        <v>0</v>
      </c>
      <c r="J206" s="36">
        <f t="shared" si="40"/>
        <v>183929.7</v>
      </c>
      <c r="K206" s="7">
        <f>K207+K226</f>
        <v>0</v>
      </c>
      <c r="L206" s="36">
        <f t="shared" si="37"/>
        <v>183929.7</v>
      </c>
      <c r="M206" s="7">
        <f>M207+M226</f>
        <v>0</v>
      </c>
      <c r="N206" s="36">
        <f t="shared" si="38"/>
        <v>183929.7</v>
      </c>
      <c r="O206" s="7">
        <f>O207+O226</f>
        <v>0</v>
      </c>
      <c r="P206" s="36">
        <f t="shared" si="34"/>
        <v>183929.7</v>
      </c>
      <c r="Q206" s="7">
        <f>Q207+Q226</f>
        <v>0</v>
      </c>
      <c r="R206" s="36">
        <f t="shared" si="35"/>
        <v>183929.7</v>
      </c>
    </row>
    <row r="207" spans="1:18" ht="86.25" customHeight="1">
      <c r="A207" s="62" t="str">
        <f ca="1">IF(ISERROR(MATCH(B207,Код_КЦСР,0)),"",INDIRECT(ADDRESS(MATCH(B207,Код_КЦСР,0)+1,2,,,"КЦСР")))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207" s="44" t="s">
        <v>422</v>
      </c>
      <c r="C207" s="8"/>
      <c r="D207" s="1"/>
      <c r="E207" s="115"/>
      <c r="F207" s="7">
        <f>F208+F220</f>
        <v>127999.7</v>
      </c>
      <c r="G207" s="7">
        <f>G208+G220</f>
        <v>0</v>
      </c>
      <c r="H207" s="36">
        <f t="shared" si="42"/>
        <v>127999.7</v>
      </c>
      <c r="I207" s="7">
        <f>I208+I220</f>
        <v>0</v>
      </c>
      <c r="J207" s="36">
        <f t="shared" si="40"/>
        <v>127999.7</v>
      </c>
      <c r="K207" s="7">
        <f>K208+K220</f>
        <v>0</v>
      </c>
      <c r="L207" s="36">
        <f t="shared" si="37"/>
        <v>127999.7</v>
      </c>
      <c r="M207" s="7">
        <f>M208+M220</f>
        <v>0</v>
      </c>
      <c r="N207" s="36">
        <f t="shared" si="38"/>
        <v>127999.7</v>
      </c>
      <c r="O207" s="7">
        <f>O208+O220</f>
        <v>0</v>
      </c>
      <c r="P207" s="36">
        <f t="shared" si="34"/>
        <v>127999.7</v>
      </c>
      <c r="Q207" s="7">
        <f>Q208+Q220</f>
        <v>0</v>
      </c>
      <c r="R207" s="36">
        <f t="shared" si="35"/>
        <v>127999.7</v>
      </c>
    </row>
    <row r="208" spans="1:18" ht="22.5" customHeight="1">
      <c r="A208" s="62" t="str">
        <f ca="1">IF(ISERROR(MATCH(C208,Код_Раздел,0)),"",INDIRECT(ADDRESS(MATCH(C208,Код_Раздел,0)+1,2,,,"Раздел")))</f>
        <v>Образование</v>
      </c>
      <c r="B208" s="44" t="s">
        <v>422</v>
      </c>
      <c r="C208" s="8" t="s">
        <v>203</v>
      </c>
      <c r="D208" s="1"/>
      <c r="E208" s="115"/>
      <c r="F208" s="7">
        <f>F209+F216</f>
        <v>123229.8</v>
      </c>
      <c r="G208" s="7">
        <f>G209+G216</f>
        <v>0</v>
      </c>
      <c r="H208" s="36">
        <f t="shared" si="42"/>
        <v>123229.8</v>
      </c>
      <c r="I208" s="7">
        <f>I209+I216</f>
        <v>0</v>
      </c>
      <c r="J208" s="36">
        <f t="shared" si="40"/>
        <v>123229.8</v>
      </c>
      <c r="K208" s="7">
        <f>K209+K216</f>
        <v>0</v>
      </c>
      <c r="L208" s="36">
        <f t="shared" si="37"/>
        <v>123229.8</v>
      </c>
      <c r="M208" s="7">
        <f>M209+M216</f>
        <v>0</v>
      </c>
      <c r="N208" s="36">
        <f t="shared" si="38"/>
        <v>123229.8</v>
      </c>
      <c r="O208" s="7">
        <f>O209+O216</f>
        <v>0</v>
      </c>
      <c r="P208" s="36">
        <f t="shared" si="34"/>
        <v>123229.8</v>
      </c>
      <c r="Q208" s="7">
        <f>Q209+Q216</f>
        <v>-491.2</v>
      </c>
      <c r="R208" s="36">
        <f t="shared" si="35"/>
        <v>122738.6</v>
      </c>
    </row>
    <row r="209" spans="1:18" ht="22.5" customHeight="1">
      <c r="A209" s="12" t="s">
        <v>258</v>
      </c>
      <c r="B209" s="44" t="s">
        <v>422</v>
      </c>
      <c r="C209" s="8" t="s">
        <v>203</v>
      </c>
      <c r="D209" s="1" t="s">
        <v>222</v>
      </c>
      <c r="E209" s="115"/>
      <c r="F209" s="7">
        <f>F210+F213</f>
        <v>117177.8</v>
      </c>
      <c r="G209" s="7">
        <f>G210+G213</f>
        <v>0</v>
      </c>
      <c r="H209" s="36">
        <f t="shared" si="42"/>
        <v>117177.8</v>
      </c>
      <c r="I209" s="7">
        <f>I210+I213</f>
        <v>0</v>
      </c>
      <c r="J209" s="36">
        <f t="shared" si="40"/>
        <v>117177.8</v>
      </c>
      <c r="K209" s="7">
        <f>K210+K213</f>
        <v>0</v>
      </c>
      <c r="L209" s="36">
        <f t="shared" si="37"/>
        <v>117177.8</v>
      </c>
      <c r="M209" s="7">
        <f>M210+M213</f>
        <v>0</v>
      </c>
      <c r="N209" s="36">
        <f t="shared" si="38"/>
        <v>117177.8</v>
      </c>
      <c r="O209" s="7">
        <f>O210+O213</f>
        <v>0</v>
      </c>
      <c r="P209" s="36">
        <f t="shared" si="34"/>
        <v>117177.8</v>
      </c>
      <c r="Q209" s="7">
        <f>Q210+Q213</f>
        <v>-491.2</v>
      </c>
      <c r="R209" s="36">
        <f t="shared" si="35"/>
        <v>116686.6</v>
      </c>
    </row>
    <row r="210" spans="1:18" ht="19.5" customHeight="1">
      <c r="A210" s="62" t="str">
        <f aca="true" t="shared" si="47" ref="A210:A219">IF(ISERROR(MATCH(E210,Код_КВР,0)),"",INDIRECT(ADDRESS(MATCH(E210,Код_КВР,0)+1,2,,,"КВР")))</f>
        <v>Социальное обеспечение и иные выплаты населению</v>
      </c>
      <c r="B210" s="44" t="s">
        <v>422</v>
      </c>
      <c r="C210" s="8" t="s">
        <v>203</v>
      </c>
      <c r="D210" s="1" t="s">
        <v>222</v>
      </c>
      <c r="E210" s="115">
        <v>300</v>
      </c>
      <c r="F210" s="7">
        <f>F211</f>
        <v>851.6</v>
      </c>
      <c r="G210" s="7">
        <f>G211</f>
        <v>0</v>
      </c>
      <c r="H210" s="36">
        <f t="shared" si="42"/>
        <v>851.6</v>
      </c>
      <c r="I210" s="7">
        <f>I211</f>
        <v>0</v>
      </c>
      <c r="J210" s="36">
        <f t="shared" si="40"/>
        <v>851.6</v>
      </c>
      <c r="K210" s="7">
        <f>K211</f>
        <v>0</v>
      </c>
      <c r="L210" s="36">
        <f t="shared" si="37"/>
        <v>851.6</v>
      </c>
      <c r="M210" s="7">
        <f>M211</f>
        <v>0</v>
      </c>
      <c r="N210" s="36">
        <f t="shared" si="38"/>
        <v>851.6</v>
      </c>
      <c r="O210" s="7">
        <f>O211</f>
        <v>0</v>
      </c>
      <c r="P210" s="36">
        <f t="shared" si="34"/>
        <v>851.6</v>
      </c>
      <c r="Q210" s="7">
        <f>Q211</f>
        <v>0</v>
      </c>
      <c r="R210" s="36">
        <f t="shared" si="35"/>
        <v>851.6</v>
      </c>
    </row>
    <row r="211" spans="1:18" ht="33.75" customHeight="1">
      <c r="A211" s="62" t="str">
        <f ca="1" t="shared" si="47"/>
        <v>Социальные выплаты гражданам, кроме публичных нормативных социальных выплат</v>
      </c>
      <c r="B211" s="44" t="s">
        <v>422</v>
      </c>
      <c r="C211" s="8" t="s">
        <v>203</v>
      </c>
      <c r="D211" s="1" t="s">
        <v>222</v>
      </c>
      <c r="E211" s="115">
        <v>320</v>
      </c>
      <c r="F211" s="7">
        <f>F212</f>
        <v>851.6</v>
      </c>
      <c r="G211" s="7">
        <f>G212</f>
        <v>0</v>
      </c>
      <c r="H211" s="36">
        <f t="shared" si="42"/>
        <v>851.6</v>
      </c>
      <c r="I211" s="7">
        <f>I212</f>
        <v>0</v>
      </c>
      <c r="J211" s="36">
        <f t="shared" si="40"/>
        <v>851.6</v>
      </c>
      <c r="K211" s="7">
        <f>K212</f>
        <v>0</v>
      </c>
      <c r="L211" s="36">
        <f t="shared" si="37"/>
        <v>851.6</v>
      </c>
      <c r="M211" s="7">
        <f>M212</f>
        <v>0</v>
      </c>
      <c r="N211" s="36">
        <f t="shared" si="38"/>
        <v>851.6</v>
      </c>
      <c r="O211" s="7">
        <f>O212</f>
        <v>0</v>
      </c>
      <c r="P211" s="36">
        <f t="shared" si="34"/>
        <v>851.6</v>
      </c>
      <c r="Q211" s="7">
        <f>Q212</f>
        <v>0</v>
      </c>
      <c r="R211" s="36">
        <f t="shared" si="35"/>
        <v>851.6</v>
      </c>
    </row>
    <row r="212" spans="1:18" ht="37.5" customHeight="1">
      <c r="A212" s="62" t="str">
        <f ca="1" t="shared" si="47"/>
        <v>Пособия, компенсации и иные социальные выплаты гражданам, кроме публичных нормативных обязательств</v>
      </c>
      <c r="B212" s="44" t="s">
        <v>422</v>
      </c>
      <c r="C212" s="8" t="s">
        <v>203</v>
      </c>
      <c r="D212" s="1" t="s">
        <v>222</v>
      </c>
      <c r="E212" s="115">
        <v>321</v>
      </c>
      <c r="F212" s="7">
        <f>'прил.5'!G674</f>
        <v>851.6</v>
      </c>
      <c r="G212" s="7">
        <f>'прил.5'!H674</f>
        <v>0</v>
      </c>
      <c r="H212" s="36">
        <f t="shared" si="42"/>
        <v>851.6</v>
      </c>
      <c r="I212" s="7">
        <f>'прил.5'!J674</f>
        <v>0</v>
      </c>
      <c r="J212" s="36">
        <f t="shared" si="40"/>
        <v>851.6</v>
      </c>
      <c r="K212" s="7">
        <f>'прил.5'!L674</f>
        <v>0</v>
      </c>
      <c r="L212" s="36">
        <f t="shared" si="37"/>
        <v>851.6</v>
      </c>
      <c r="M212" s="7">
        <f>'прил.5'!N674</f>
        <v>0</v>
      </c>
      <c r="N212" s="36">
        <f t="shared" si="38"/>
        <v>851.6</v>
      </c>
      <c r="O212" s="7">
        <f>'прил.5'!P674</f>
        <v>0</v>
      </c>
      <c r="P212" s="36">
        <f t="shared" si="34"/>
        <v>851.6</v>
      </c>
      <c r="Q212" s="7">
        <f>'прил.5'!R674</f>
        <v>0</v>
      </c>
      <c r="R212" s="36">
        <f t="shared" si="35"/>
        <v>851.6</v>
      </c>
    </row>
    <row r="213" spans="1:18" ht="35.25" customHeight="1">
      <c r="A213" s="62" t="str">
        <f ca="1" t="shared" si="47"/>
        <v>Предоставление субсидий бюджетным, автономным учреждениям и иным некоммерческим организациям</v>
      </c>
      <c r="B213" s="44" t="s">
        <v>422</v>
      </c>
      <c r="C213" s="8" t="s">
        <v>203</v>
      </c>
      <c r="D213" s="1" t="s">
        <v>222</v>
      </c>
      <c r="E213" s="115">
        <v>600</v>
      </c>
      <c r="F213" s="7">
        <f>F214</f>
        <v>116326.2</v>
      </c>
      <c r="G213" s="7">
        <f>G214</f>
        <v>0</v>
      </c>
      <c r="H213" s="36">
        <f t="shared" si="42"/>
        <v>116326.2</v>
      </c>
      <c r="I213" s="7">
        <f>I214</f>
        <v>0</v>
      </c>
      <c r="J213" s="36">
        <f t="shared" si="40"/>
        <v>116326.2</v>
      </c>
      <c r="K213" s="7">
        <f>K214</f>
        <v>0</v>
      </c>
      <c r="L213" s="36">
        <f t="shared" si="37"/>
        <v>116326.2</v>
      </c>
      <c r="M213" s="7">
        <f>M214</f>
        <v>0</v>
      </c>
      <c r="N213" s="36">
        <f t="shared" si="38"/>
        <v>116326.2</v>
      </c>
      <c r="O213" s="7">
        <f>O214</f>
        <v>0</v>
      </c>
      <c r="P213" s="36">
        <f t="shared" si="34"/>
        <v>116326.2</v>
      </c>
      <c r="Q213" s="7">
        <f>Q214</f>
        <v>-491.2</v>
      </c>
      <c r="R213" s="36">
        <f t="shared" si="35"/>
        <v>115835</v>
      </c>
    </row>
    <row r="214" spans="1:18" ht="22.5" customHeight="1">
      <c r="A214" s="62" t="str">
        <f ca="1" t="shared" si="47"/>
        <v>Субсидии бюджетным учреждениям</v>
      </c>
      <c r="B214" s="44" t="s">
        <v>422</v>
      </c>
      <c r="C214" s="8" t="s">
        <v>203</v>
      </c>
      <c r="D214" s="1" t="s">
        <v>222</v>
      </c>
      <c r="E214" s="115">
        <v>610</v>
      </c>
      <c r="F214" s="7">
        <f>F215</f>
        <v>116326.2</v>
      </c>
      <c r="G214" s="7">
        <f>G215</f>
        <v>0</v>
      </c>
      <c r="H214" s="36">
        <f t="shared" si="42"/>
        <v>116326.2</v>
      </c>
      <c r="I214" s="7">
        <f>I215</f>
        <v>0</v>
      </c>
      <c r="J214" s="36">
        <f t="shared" si="40"/>
        <v>116326.2</v>
      </c>
      <c r="K214" s="7">
        <f>K215</f>
        <v>0</v>
      </c>
      <c r="L214" s="36">
        <f t="shared" si="37"/>
        <v>116326.2</v>
      </c>
      <c r="M214" s="7">
        <f>M215</f>
        <v>0</v>
      </c>
      <c r="N214" s="36">
        <f t="shared" si="38"/>
        <v>116326.2</v>
      </c>
      <c r="O214" s="7">
        <f>O215</f>
        <v>0</v>
      </c>
      <c r="P214" s="36">
        <f t="shared" si="34"/>
        <v>116326.2</v>
      </c>
      <c r="Q214" s="7">
        <f>Q215</f>
        <v>-491.2</v>
      </c>
      <c r="R214" s="36">
        <f t="shared" si="35"/>
        <v>115835</v>
      </c>
    </row>
    <row r="215" spans="1:18" ht="51.75" customHeight="1">
      <c r="A215" s="62" t="str">
        <f ca="1" t="shared" si="4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5" s="44" t="s">
        <v>422</v>
      </c>
      <c r="C215" s="8" t="s">
        <v>203</v>
      </c>
      <c r="D215" s="1" t="s">
        <v>222</v>
      </c>
      <c r="E215" s="115">
        <v>611</v>
      </c>
      <c r="F215" s="7">
        <f>'прил.5'!G677</f>
        <v>116326.2</v>
      </c>
      <c r="G215" s="7">
        <f>'прил.5'!H677</f>
        <v>0</v>
      </c>
      <c r="H215" s="36">
        <f t="shared" si="42"/>
        <v>116326.2</v>
      </c>
      <c r="I215" s="7">
        <f>'прил.5'!J677</f>
        <v>0</v>
      </c>
      <c r="J215" s="36">
        <f t="shared" si="40"/>
        <v>116326.2</v>
      </c>
      <c r="K215" s="7">
        <f>'прил.5'!L677</f>
        <v>0</v>
      </c>
      <c r="L215" s="36">
        <f t="shared" si="37"/>
        <v>116326.2</v>
      </c>
      <c r="M215" s="7">
        <f>'прил.5'!N677</f>
        <v>0</v>
      </c>
      <c r="N215" s="36">
        <f t="shared" si="38"/>
        <v>116326.2</v>
      </c>
      <c r="O215" s="7">
        <f>'прил.5'!P677</f>
        <v>0</v>
      </c>
      <c r="P215" s="36">
        <f t="shared" si="34"/>
        <v>116326.2</v>
      </c>
      <c r="Q215" s="7">
        <f>'прил.5'!R677</f>
        <v>-491.2</v>
      </c>
      <c r="R215" s="36">
        <f t="shared" si="35"/>
        <v>115835</v>
      </c>
    </row>
    <row r="216" spans="1:18" ht="12.75">
      <c r="A216" s="12" t="s">
        <v>207</v>
      </c>
      <c r="B216" s="44" t="s">
        <v>422</v>
      </c>
      <c r="C216" s="8" t="s">
        <v>203</v>
      </c>
      <c r="D216" s="1" t="s">
        <v>203</v>
      </c>
      <c r="E216" s="115"/>
      <c r="F216" s="7">
        <f aca="true" t="shared" si="48" ref="F216:Q218">F217</f>
        <v>6052</v>
      </c>
      <c r="G216" s="7">
        <f t="shared" si="48"/>
        <v>0</v>
      </c>
      <c r="H216" s="36">
        <f t="shared" si="42"/>
        <v>6052</v>
      </c>
      <c r="I216" s="7">
        <f t="shared" si="48"/>
        <v>0</v>
      </c>
      <c r="J216" s="36">
        <f t="shared" si="40"/>
        <v>6052</v>
      </c>
      <c r="K216" s="7">
        <f t="shared" si="48"/>
        <v>0</v>
      </c>
      <c r="L216" s="36">
        <f t="shared" si="37"/>
        <v>6052</v>
      </c>
      <c r="M216" s="7">
        <f t="shared" si="48"/>
        <v>0</v>
      </c>
      <c r="N216" s="36">
        <f t="shared" si="38"/>
        <v>6052</v>
      </c>
      <c r="O216" s="7">
        <f t="shared" si="48"/>
        <v>0</v>
      </c>
      <c r="P216" s="36">
        <f t="shared" si="34"/>
        <v>6052</v>
      </c>
      <c r="Q216" s="7">
        <f t="shared" si="48"/>
        <v>0</v>
      </c>
      <c r="R216" s="36">
        <f t="shared" si="35"/>
        <v>6052</v>
      </c>
    </row>
    <row r="217" spans="1:18" ht="12.75">
      <c r="A217" s="62" t="str">
        <f ca="1" t="shared" si="47"/>
        <v>Социальное обеспечение и иные выплаты населению</v>
      </c>
      <c r="B217" s="44" t="s">
        <v>422</v>
      </c>
      <c r="C217" s="8" t="s">
        <v>203</v>
      </c>
      <c r="D217" s="1" t="s">
        <v>203</v>
      </c>
      <c r="E217" s="115">
        <v>300</v>
      </c>
      <c r="F217" s="7">
        <f t="shared" si="48"/>
        <v>6052</v>
      </c>
      <c r="G217" s="7">
        <f t="shared" si="48"/>
        <v>0</v>
      </c>
      <c r="H217" s="36">
        <f t="shared" si="42"/>
        <v>6052</v>
      </c>
      <c r="I217" s="7">
        <f t="shared" si="48"/>
        <v>0</v>
      </c>
      <c r="J217" s="36">
        <f t="shared" si="40"/>
        <v>6052</v>
      </c>
      <c r="K217" s="7">
        <f t="shared" si="48"/>
        <v>0</v>
      </c>
      <c r="L217" s="36">
        <f t="shared" si="37"/>
        <v>6052</v>
      </c>
      <c r="M217" s="7">
        <f t="shared" si="48"/>
        <v>0</v>
      </c>
      <c r="N217" s="36">
        <f t="shared" si="38"/>
        <v>6052</v>
      </c>
      <c r="O217" s="7">
        <f t="shared" si="48"/>
        <v>0</v>
      </c>
      <c r="P217" s="36">
        <f t="shared" si="34"/>
        <v>6052</v>
      </c>
      <c r="Q217" s="7">
        <f t="shared" si="48"/>
        <v>0</v>
      </c>
      <c r="R217" s="36">
        <f t="shared" si="35"/>
        <v>6052</v>
      </c>
    </row>
    <row r="218" spans="1:18" ht="33">
      <c r="A218" s="62" t="str">
        <f ca="1" t="shared" si="47"/>
        <v>Социальные выплаты гражданам, кроме публичных нормативных социальных выплат</v>
      </c>
      <c r="B218" s="44" t="s">
        <v>422</v>
      </c>
      <c r="C218" s="8" t="s">
        <v>203</v>
      </c>
      <c r="D218" s="1" t="s">
        <v>203</v>
      </c>
      <c r="E218" s="115">
        <v>320</v>
      </c>
      <c r="F218" s="7">
        <f t="shared" si="48"/>
        <v>6052</v>
      </c>
      <c r="G218" s="7">
        <f t="shared" si="48"/>
        <v>0</v>
      </c>
      <c r="H218" s="36">
        <f t="shared" si="42"/>
        <v>6052</v>
      </c>
      <c r="I218" s="7">
        <f t="shared" si="48"/>
        <v>0</v>
      </c>
      <c r="J218" s="36">
        <f t="shared" si="40"/>
        <v>6052</v>
      </c>
      <c r="K218" s="7">
        <f t="shared" si="48"/>
        <v>0</v>
      </c>
      <c r="L218" s="36">
        <f t="shared" si="37"/>
        <v>6052</v>
      </c>
      <c r="M218" s="7">
        <f t="shared" si="48"/>
        <v>0</v>
      </c>
      <c r="N218" s="36">
        <f t="shared" si="38"/>
        <v>6052</v>
      </c>
      <c r="O218" s="7">
        <f t="shared" si="48"/>
        <v>0</v>
      </c>
      <c r="P218" s="36">
        <f t="shared" si="34"/>
        <v>6052</v>
      </c>
      <c r="Q218" s="7">
        <f t="shared" si="48"/>
        <v>0</v>
      </c>
      <c r="R218" s="36">
        <f t="shared" si="35"/>
        <v>6052</v>
      </c>
    </row>
    <row r="219" spans="1:18" ht="33">
      <c r="A219" s="62" t="str">
        <f ca="1" t="shared" si="47"/>
        <v>Приобретение товаров, работ, услуг в пользу граждан в целях их социального обеспечения</v>
      </c>
      <c r="B219" s="44" t="s">
        <v>422</v>
      </c>
      <c r="C219" s="8" t="s">
        <v>203</v>
      </c>
      <c r="D219" s="1" t="s">
        <v>203</v>
      </c>
      <c r="E219" s="115">
        <v>323</v>
      </c>
      <c r="F219" s="7">
        <f>'прил.5'!G688</f>
        <v>6052</v>
      </c>
      <c r="G219" s="7">
        <f>'прил.5'!H688</f>
        <v>0</v>
      </c>
      <c r="H219" s="36">
        <f t="shared" si="42"/>
        <v>6052</v>
      </c>
      <c r="I219" s="7">
        <f>'прил.5'!J688</f>
        <v>0</v>
      </c>
      <c r="J219" s="36">
        <f t="shared" si="40"/>
        <v>6052</v>
      </c>
      <c r="K219" s="7">
        <f>'прил.5'!L688</f>
        <v>0</v>
      </c>
      <c r="L219" s="36">
        <f t="shared" si="37"/>
        <v>6052</v>
      </c>
      <c r="M219" s="7">
        <f>'прил.5'!N688</f>
        <v>0</v>
      </c>
      <c r="N219" s="36">
        <f t="shared" si="38"/>
        <v>6052</v>
      </c>
      <c r="O219" s="7">
        <f>'прил.5'!P688</f>
        <v>0</v>
      </c>
      <c r="P219" s="36">
        <f aca="true" t="shared" si="49" ref="P219:P282">N219+O219</f>
        <v>6052</v>
      </c>
      <c r="Q219" s="7">
        <f>'прил.5'!R688</f>
        <v>0</v>
      </c>
      <c r="R219" s="36">
        <f aca="true" t="shared" si="50" ref="R219:R282">P219+Q219</f>
        <v>6052</v>
      </c>
    </row>
    <row r="220" spans="1:18" ht="18.75" customHeight="1">
      <c r="A220" s="62" t="str">
        <f ca="1">IF(ISERROR(MATCH(C220,Код_Раздел,0)),"",INDIRECT(ADDRESS(MATCH(C220,Код_Раздел,0)+1,2,,,"Раздел")))</f>
        <v>Социальная политика</v>
      </c>
      <c r="B220" s="44" t="s">
        <v>422</v>
      </c>
      <c r="C220" s="8" t="s">
        <v>196</v>
      </c>
      <c r="D220" s="1"/>
      <c r="E220" s="115"/>
      <c r="F220" s="7">
        <f aca="true" t="shared" si="51" ref="F220:Q222">F221</f>
        <v>4769.9</v>
      </c>
      <c r="G220" s="7">
        <f t="shared" si="51"/>
        <v>0</v>
      </c>
      <c r="H220" s="36">
        <f t="shared" si="42"/>
        <v>4769.9</v>
      </c>
      <c r="I220" s="7">
        <f t="shared" si="51"/>
        <v>0</v>
      </c>
      <c r="J220" s="36">
        <f t="shared" si="40"/>
        <v>4769.9</v>
      </c>
      <c r="K220" s="7">
        <f t="shared" si="51"/>
        <v>0</v>
      </c>
      <c r="L220" s="36">
        <f t="shared" si="37"/>
        <v>4769.9</v>
      </c>
      <c r="M220" s="7">
        <f t="shared" si="51"/>
        <v>0</v>
      </c>
      <c r="N220" s="36">
        <f t="shared" si="38"/>
        <v>4769.9</v>
      </c>
      <c r="O220" s="7">
        <f t="shared" si="51"/>
        <v>0</v>
      </c>
      <c r="P220" s="36">
        <f t="shared" si="49"/>
        <v>4769.9</v>
      </c>
      <c r="Q220" s="7">
        <f t="shared" si="51"/>
        <v>491.2</v>
      </c>
      <c r="R220" s="36">
        <f t="shared" si="50"/>
        <v>5261.099999999999</v>
      </c>
    </row>
    <row r="221" spans="1:18" ht="21" customHeight="1">
      <c r="A221" s="12" t="s">
        <v>187</v>
      </c>
      <c r="B221" s="44" t="s">
        <v>422</v>
      </c>
      <c r="C221" s="8" t="s">
        <v>196</v>
      </c>
      <c r="D221" s="1" t="s">
        <v>223</v>
      </c>
      <c r="E221" s="115"/>
      <c r="F221" s="7">
        <f t="shared" si="51"/>
        <v>4769.9</v>
      </c>
      <c r="G221" s="7">
        <f t="shared" si="51"/>
        <v>0</v>
      </c>
      <c r="H221" s="36">
        <f t="shared" si="42"/>
        <v>4769.9</v>
      </c>
      <c r="I221" s="7">
        <f t="shared" si="51"/>
        <v>0</v>
      </c>
      <c r="J221" s="36">
        <f t="shared" si="40"/>
        <v>4769.9</v>
      </c>
      <c r="K221" s="7">
        <f t="shared" si="51"/>
        <v>0</v>
      </c>
      <c r="L221" s="36">
        <f t="shared" si="37"/>
        <v>4769.9</v>
      </c>
      <c r="M221" s="7">
        <f t="shared" si="51"/>
        <v>0</v>
      </c>
      <c r="N221" s="36">
        <f t="shared" si="38"/>
        <v>4769.9</v>
      </c>
      <c r="O221" s="7">
        <f t="shared" si="51"/>
        <v>0</v>
      </c>
      <c r="P221" s="36">
        <f t="shared" si="49"/>
        <v>4769.9</v>
      </c>
      <c r="Q221" s="7">
        <f t="shared" si="51"/>
        <v>491.2</v>
      </c>
      <c r="R221" s="36">
        <f t="shared" si="50"/>
        <v>5261.099999999999</v>
      </c>
    </row>
    <row r="222" spans="1:18" ht="19.5" customHeight="1">
      <c r="A222" s="62" t="str">
        <f ca="1">IF(ISERROR(MATCH(E222,Код_КВР,0)),"",INDIRECT(ADDRESS(MATCH(E222,Код_КВР,0)+1,2,,,"КВР")))</f>
        <v>Социальное обеспечение и иные выплаты населению</v>
      </c>
      <c r="B222" s="44" t="s">
        <v>422</v>
      </c>
      <c r="C222" s="8" t="s">
        <v>196</v>
      </c>
      <c r="D222" s="1" t="s">
        <v>223</v>
      </c>
      <c r="E222" s="115">
        <v>300</v>
      </c>
      <c r="F222" s="7">
        <f t="shared" si="51"/>
        <v>4769.9</v>
      </c>
      <c r="G222" s="7">
        <f t="shared" si="51"/>
        <v>0</v>
      </c>
      <c r="H222" s="36">
        <f t="shared" si="42"/>
        <v>4769.9</v>
      </c>
      <c r="I222" s="7">
        <f t="shared" si="51"/>
        <v>0</v>
      </c>
      <c r="J222" s="36">
        <f t="shared" si="40"/>
        <v>4769.9</v>
      </c>
      <c r="K222" s="7">
        <f t="shared" si="51"/>
        <v>0</v>
      </c>
      <c r="L222" s="36">
        <f t="shared" si="37"/>
        <v>4769.9</v>
      </c>
      <c r="M222" s="7">
        <f t="shared" si="51"/>
        <v>0</v>
      </c>
      <c r="N222" s="36">
        <f t="shared" si="38"/>
        <v>4769.9</v>
      </c>
      <c r="O222" s="7">
        <f t="shared" si="51"/>
        <v>0</v>
      </c>
      <c r="P222" s="36">
        <f t="shared" si="49"/>
        <v>4769.9</v>
      </c>
      <c r="Q222" s="7">
        <f t="shared" si="51"/>
        <v>491.2</v>
      </c>
      <c r="R222" s="36">
        <f t="shared" si="50"/>
        <v>5261.099999999999</v>
      </c>
    </row>
    <row r="223" spans="1:18" ht="36" customHeight="1">
      <c r="A223" s="62" t="str">
        <f ca="1">IF(ISERROR(MATCH(E223,Код_КВР,0)),"",INDIRECT(ADDRESS(MATCH(E223,Код_КВР,0)+1,2,,,"КВР")))</f>
        <v>Социальные выплаты гражданам, кроме публичных нормативных социальных выплат</v>
      </c>
      <c r="B223" s="44" t="s">
        <v>422</v>
      </c>
      <c r="C223" s="8" t="s">
        <v>196</v>
      </c>
      <c r="D223" s="1" t="s">
        <v>223</v>
      </c>
      <c r="E223" s="115">
        <v>320</v>
      </c>
      <c r="F223" s="7">
        <f>SUM(F224:F225)</f>
        <v>4769.9</v>
      </c>
      <c r="G223" s="7">
        <f>SUM(G224:G225)</f>
        <v>0</v>
      </c>
      <c r="H223" s="36">
        <f t="shared" si="42"/>
        <v>4769.9</v>
      </c>
      <c r="I223" s="7">
        <f>SUM(I224:I225)</f>
        <v>0</v>
      </c>
      <c r="J223" s="36">
        <f t="shared" si="40"/>
        <v>4769.9</v>
      </c>
      <c r="K223" s="7">
        <f>SUM(K224:K225)</f>
        <v>0</v>
      </c>
      <c r="L223" s="36">
        <f t="shared" si="37"/>
        <v>4769.9</v>
      </c>
      <c r="M223" s="7">
        <f>SUM(M224:M225)</f>
        <v>0</v>
      </c>
      <c r="N223" s="36">
        <f t="shared" si="38"/>
        <v>4769.9</v>
      </c>
      <c r="O223" s="7">
        <f>SUM(O224:O225)</f>
        <v>0</v>
      </c>
      <c r="P223" s="36">
        <f t="shared" si="49"/>
        <v>4769.9</v>
      </c>
      <c r="Q223" s="7">
        <f>SUM(Q224:Q225)</f>
        <v>491.2</v>
      </c>
      <c r="R223" s="36">
        <f t="shared" si="50"/>
        <v>5261.099999999999</v>
      </c>
    </row>
    <row r="224" spans="1:18" ht="36.75" customHeight="1">
      <c r="A224" s="62" t="str">
        <f ca="1">IF(ISERROR(MATCH(E224,Код_КВР,0)),"",INDIRECT(ADDRESS(MATCH(E224,Код_КВР,0)+1,2,,,"КВР")))</f>
        <v>Пособия, компенсации и иные социальные выплаты гражданам, кроме публичных нормативных обязательств</v>
      </c>
      <c r="B224" s="44" t="s">
        <v>422</v>
      </c>
      <c r="C224" s="8" t="s">
        <v>196</v>
      </c>
      <c r="D224" s="1" t="s">
        <v>223</v>
      </c>
      <c r="E224" s="115">
        <v>321</v>
      </c>
      <c r="F224" s="7">
        <f>'прил.5'!G1271+'прил.5'!G823</f>
        <v>2489.9</v>
      </c>
      <c r="G224" s="7">
        <f>'прил.5'!H1271+'прил.5'!H823</f>
        <v>0</v>
      </c>
      <c r="H224" s="36">
        <f t="shared" si="42"/>
        <v>2489.9</v>
      </c>
      <c r="I224" s="7">
        <f>'прил.5'!J1271+'прил.5'!J823</f>
        <v>0</v>
      </c>
      <c r="J224" s="36">
        <f t="shared" si="40"/>
        <v>2489.9</v>
      </c>
      <c r="K224" s="7">
        <f>'прил.5'!L1271+'прил.5'!L823</f>
        <v>0</v>
      </c>
      <c r="L224" s="36">
        <f aca="true" t="shared" si="52" ref="L224:L290">J224+K224</f>
        <v>2489.9</v>
      </c>
      <c r="M224" s="7">
        <f>'прил.5'!N1271+'прил.5'!N823</f>
        <v>0</v>
      </c>
      <c r="N224" s="36">
        <f aca="true" t="shared" si="53" ref="N224:N290">L224+M224</f>
        <v>2489.9</v>
      </c>
      <c r="O224" s="7">
        <f>'прил.5'!P1271+'прил.5'!P823</f>
        <v>0</v>
      </c>
      <c r="P224" s="36">
        <f t="shared" si="49"/>
        <v>2489.9</v>
      </c>
      <c r="Q224" s="7">
        <f>'прил.5'!R1271+'прил.5'!R823</f>
        <v>491.2</v>
      </c>
      <c r="R224" s="36">
        <f t="shared" si="50"/>
        <v>2981.1</v>
      </c>
    </row>
    <row r="225" spans="1:18" ht="36.75" customHeight="1">
      <c r="A225" s="62" t="str">
        <f ca="1">IF(ISERROR(MATCH(E225,Код_КВР,0)),"",INDIRECT(ADDRESS(MATCH(E225,Код_КВР,0)+1,2,,,"КВР")))</f>
        <v>Приобретение товаров, работ, услуг в пользу граждан в целях их социального обеспечения</v>
      </c>
      <c r="B225" s="44" t="s">
        <v>422</v>
      </c>
      <c r="C225" s="8" t="s">
        <v>196</v>
      </c>
      <c r="D225" s="1" t="s">
        <v>223</v>
      </c>
      <c r="E225" s="115">
        <v>323</v>
      </c>
      <c r="F225" s="7">
        <f>'прил.5'!G824</f>
        <v>2280</v>
      </c>
      <c r="G225" s="7">
        <f>'прил.5'!H824</f>
        <v>0</v>
      </c>
      <c r="H225" s="36">
        <f t="shared" si="42"/>
        <v>2280</v>
      </c>
      <c r="I225" s="7">
        <f>'прил.5'!J824</f>
        <v>0</v>
      </c>
      <c r="J225" s="36">
        <f t="shared" si="40"/>
        <v>2280</v>
      </c>
      <c r="K225" s="7">
        <f>'прил.5'!L824</f>
        <v>0</v>
      </c>
      <c r="L225" s="36">
        <f t="shared" si="52"/>
        <v>2280</v>
      </c>
      <c r="M225" s="7">
        <f>'прил.5'!N824</f>
        <v>0</v>
      </c>
      <c r="N225" s="36">
        <f t="shared" si="53"/>
        <v>2280</v>
      </c>
      <c r="O225" s="7">
        <f>'прил.5'!P824</f>
        <v>0</v>
      </c>
      <c r="P225" s="36">
        <f t="shared" si="49"/>
        <v>2280</v>
      </c>
      <c r="Q225" s="7">
        <f>'прил.5'!R824</f>
        <v>0</v>
      </c>
      <c r="R225" s="36">
        <f t="shared" si="50"/>
        <v>2280</v>
      </c>
    </row>
    <row r="226" spans="1:18" ht="174" customHeight="1">
      <c r="A226" s="62" t="str">
        <f ca="1">IF(ISERROR(MATCH(B226,Код_КЦСР,0)),"",INDIRECT(ADDRESS(MATCH(B226,Код_КЦСР,0)+1,2,,,"КЦСР")))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26" s="44" t="s">
        <v>441</v>
      </c>
      <c r="C226" s="8"/>
      <c r="D226" s="1"/>
      <c r="E226" s="115"/>
      <c r="F226" s="7">
        <f aca="true" t="shared" si="54" ref="F226:Q230">F227</f>
        <v>55930</v>
      </c>
      <c r="G226" s="7">
        <f t="shared" si="54"/>
        <v>0</v>
      </c>
      <c r="H226" s="36">
        <f t="shared" si="42"/>
        <v>55930</v>
      </c>
      <c r="I226" s="7">
        <f t="shared" si="54"/>
        <v>0</v>
      </c>
      <c r="J226" s="36">
        <f aca="true" t="shared" si="55" ref="J226:J292">H226+I226</f>
        <v>55930</v>
      </c>
      <c r="K226" s="7">
        <f t="shared" si="54"/>
        <v>0</v>
      </c>
      <c r="L226" s="36">
        <f t="shared" si="52"/>
        <v>55930</v>
      </c>
      <c r="M226" s="7">
        <f t="shared" si="54"/>
        <v>0</v>
      </c>
      <c r="N226" s="36">
        <f t="shared" si="53"/>
        <v>55930</v>
      </c>
      <c r="O226" s="7">
        <f t="shared" si="54"/>
        <v>0</v>
      </c>
      <c r="P226" s="36">
        <f t="shared" si="49"/>
        <v>55930</v>
      </c>
      <c r="Q226" s="7">
        <f t="shared" si="54"/>
        <v>0</v>
      </c>
      <c r="R226" s="36">
        <f t="shared" si="50"/>
        <v>55930</v>
      </c>
    </row>
    <row r="227" spans="1:18" ht="20.25" customHeight="1">
      <c r="A227" s="62" t="str">
        <f ca="1">IF(ISERROR(MATCH(C227,Код_Раздел,0)),"",INDIRECT(ADDRESS(MATCH(C227,Код_Раздел,0)+1,2,,,"Раздел")))</f>
        <v>Социальная политика</v>
      </c>
      <c r="B227" s="44" t="s">
        <v>441</v>
      </c>
      <c r="C227" s="8" t="s">
        <v>196</v>
      </c>
      <c r="D227" s="1"/>
      <c r="E227" s="115"/>
      <c r="F227" s="7">
        <f t="shared" si="54"/>
        <v>55930</v>
      </c>
      <c r="G227" s="7">
        <f t="shared" si="54"/>
        <v>0</v>
      </c>
      <c r="H227" s="36">
        <f t="shared" si="42"/>
        <v>55930</v>
      </c>
      <c r="I227" s="7">
        <f t="shared" si="54"/>
        <v>0</v>
      </c>
      <c r="J227" s="36">
        <f t="shared" si="55"/>
        <v>55930</v>
      </c>
      <c r="K227" s="7">
        <f t="shared" si="54"/>
        <v>0</v>
      </c>
      <c r="L227" s="36">
        <f t="shared" si="52"/>
        <v>55930</v>
      </c>
      <c r="M227" s="7">
        <f t="shared" si="54"/>
        <v>0</v>
      </c>
      <c r="N227" s="36">
        <f t="shared" si="53"/>
        <v>55930</v>
      </c>
      <c r="O227" s="7">
        <f t="shared" si="54"/>
        <v>0</v>
      </c>
      <c r="P227" s="36">
        <f t="shared" si="49"/>
        <v>55930</v>
      </c>
      <c r="Q227" s="7">
        <f t="shared" si="54"/>
        <v>0</v>
      </c>
      <c r="R227" s="36">
        <f t="shared" si="50"/>
        <v>55930</v>
      </c>
    </row>
    <row r="228" spans="1:18" ht="18.75" customHeight="1">
      <c r="A228" s="78" t="s">
        <v>212</v>
      </c>
      <c r="B228" s="44" t="s">
        <v>441</v>
      </c>
      <c r="C228" s="8" t="s">
        <v>196</v>
      </c>
      <c r="D228" s="1" t="s">
        <v>224</v>
      </c>
      <c r="E228" s="115"/>
      <c r="F228" s="7">
        <f t="shared" si="54"/>
        <v>55930</v>
      </c>
      <c r="G228" s="7">
        <f t="shared" si="54"/>
        <v>0</v>
      </c>
      <c r="H228" s="36">
        <f t="shared" si="42"/>
        <v>55930</v>
      </c>
      <c r="I228" s="7">
        <f t="shared" si="54"/>
        <v>0</v>
      </c>
      <c r="J228" s="36">
        <f t="shared" si="55"/>
        <v>55930</v>
      </c>
      <c r="K228" s="7">
        <f t="shared" si="54"/>
        <v>0</v>
      </c>
      <c r="L228" s="36">
        <f t="shared" si="52"/>
        <v>55930</v>
      </c>
      <c r="M228" s="7">
        <f t="shared" si="54"/>
        <v>0</v>
      </c>
      <c r="N228" s="36">
        <f t="shared" si="53"/>
        <v>55930</v>
      </c>
      <c r="O228" s="7">
        <f t="shared" si="54"/>
        <v>0</v>
      </c>
      <c r="P228" s="36">
        <f t="shared" si="49"/>
        <v>55930</v>
      </c>
      <c r="Q228" s="7">
        <f t="shared" si="54"/>
        <v>0</v>
      </c>
      <c r="R228" s="36">
        <f t="shared" si="50"/>
        <v>55930</v>
      </c>
    </row>
    <row r="229" spans="1:18" ht="21.95" customHeight="1">
      <c r="A229" s="62" t="str">
        <f ca="1">IF(ISERROR(MATCH(E229,Код_КВР,0)),"",INDIRECT(ADDRESS(MATCH(E229,Код_КВР,0)+1,2,,,"КВР")))</f>
        <v>Социальное обеспечение и иные выплаты населению</v>
      </c>
      <c r="B229" s="44" t="s">
        <v>441</v>
      </c>
      <c r="C229" s="8" t="s">
        <v>196</v>
      </c>
      <c r="D229" s="1" t="s">
        <v>224</v>
      </c>
      <c r="E229" s="115">
        <v>300</v>
      </c>
      <c r="F229" s="7">
        <f t="shared" si="54"/>
        <v>55930</v>
      </c>
      <c r="G229" s="7">
        <f t="shared" si="54"/>
        <v>0</v>
      </c>
      <c r="H229" s="36">
        <f t="shared" si="42"/>
        <v>55930</v>
      </c>
      <c r="I229" s="7">
        <f t="shared" si="54"/>
        <v>0</v>
      </c>
      <c r="J229" s="36">
        <f t="shared" si="55"/>
        <v>55930</v>
      </c>
      <c r="K229" s="7">
        <f t="shared" si="54"/>
        <v>0</v>
      </c>
      <c r="L229" s="36">
        <f t="shared" si="52"/>
        <v>55930</v>
      </c>
      <c r="M229" s="7">
        <f t="shared" si="54"/>
        <v>0</v>
      </c>
      <c r="N229" s="36">
        <f t="shared" si="53"/>
        <v>55930</v>
      </c>
      <c r="O229" s="7">
        <f t="shared" si="54"/>
        <v>0</v>
      </c>
      <c r="P229" s="36">
        <f t="shared" si="49"/>
        <v>55930</v>
      </c>
      <c r="Q229" s="7">
        <f t="shared" si="54"/>
        <v>0</v>
      </c>
      <c r="R229" s="36">
        <f t="shared" si="50"/>
        <v>55930</v>
      </c>
    </row>
    <row r="230" spans="1:18" ht="35.25" customHeight="1">
      <c r="A230" s="62" t="str">
        <f ca="1">IF(ISERROR(MATCH(E230,Код_КВР,0)),"",INDIRECT(ADDRESS(MATCH(E230,Код_КВР,0)+1,2,,,"КВР")))</f>
        <v>Социальные выплаты гражданам, кроме публичных нормативных социальных выплат</v>
      </c>
      <c r="B230" s="44" t="s">
        <v>441</v>
      </c>
      <c r="C230" s="8" t="s">
        <v>196</v>
      </c>
      <c r="D230" s="1" t="s">
        <v>224</v>
      </c>
      <c r="E230" s="115">
        <v>320</v>
      </c>
      <c r="F230" s="7">
        <f t="shared" si="54"/>
        <v>55930</v>
      </c>
      <c r="G230" s="7">
        <f t="shared" si="54"/>
        <v>0</v>
      </c>
      <c r="H230" s="36">
        <f t="shared" si="42"/>
        <v>55930</v>
      </c>
      <c r="I230" s="7">
        <f t="shared" si="54"/>
        <v>0</v>
      </c>
      <c r="J230" s="36">
        <f t="shared" si="55"/>
        <v>55930</v>
      </c>
      <c r="K230" s="7">
        <f t="shared" si="54"/>
        <v>0</v>
      </c>
      <c r="L230" s="36">
        <f t="shared" si="52"/>
        <v>55930</v>
      </c>
      <c r="M230" s="7">
        <f t="shared" si="54"/>
        <v>0</v>
      </c>
      <c r="N230" s="36">
        <f t="shared" si="53"/>
        <v>55930</v>
      </c>
      <c r="O230" s="7">
        <f t="shared" si="54"/>
        <v>0</v>
      </c>
      <c r="P230" s="36">
        <f t="shared" si="49"/>
        <v>55930</v>
      </c>
      <c r="Q230" s="7">
        <f t="shared" si="54"/>
        <v>0</v>
      </c>
      <c r="R230" s="36">
        <f t="shared" si="50"/>
        <v>55930</v>
      </c>
    </row>
    <row r="231" spans="1:18" ht="36" customHeight="1">
      <c r="A231" s="62" t="str">
        <f ca="1">IF(ISERROR(MATCH(E231,Код_КВР,0)),"",INDIRECT(ADDRESS(MATCH(E231,Код_КВР,0)+1,2,,,"КВР")))</f>
        <v>Пособия, компенсации и иные социальные выплаты гражданам, кроме публичных нормативных обязательств</v>
      </c>
      <c r="B231" s="44" t="s">
        <v>441</v>
      </c>
      <c r="C231" s="8" t="s">
        <v>196</v>
      </c>
      <c r="D231" s="1" t="s">
        <v>224</v>
      </c>
      <c r="E231" s="115">
        <v>321</v>
      </c>
      <c r="F231" s="7">
        <f>'прил.5'!G842</f>
        <v>55930</v>
      </c>
      <c r="G231" s="7">
        <f>'прил.5'!H842</f>
        <v>0</v>
      </c>
      <c r="H231" s="36">
        <f t="shared" si="42"/>
        <v>55930</v>
      </c>
      <c r="I231" s="7">
        <f>'прил.5'!J842</f>
        <v>0</v>
      </c>
      <c r="J231" s="36">
        <f t="shared" si="55"/>
        <v>55930</v>
      </c>
      <c r="K231" s="7">
        <f>'прил.5'!L842</f>
        <v>0</v>
      </c>
      <c r="L231" s="36">
        <f t="shared" si="52"/>
        <v>55930</v>
      </c>
      <c r="M231" s="7">
        <f>'прил.5'!N842</f>
        <v>0</v>
      </c>
      <c r="N231" s="36">
        <f t="shared" si="53"/>
        <v>55930</v>
      </c>
      <c r="O231" s="7">
        <f>'прил.5'!P842</f>
        <v>0</v>
      </c>
      <c r="P231" s="36">
        <f t="shared" si="49"/>
        <v>55930</v>
      </c>
      <c r="Q231" s="7">
        <f>'прил.5'!R842</f>
        <v>0</v>
      </c>
      <c r="R231" s="36">
        <f t="shared" si="50"/>
        <v>55930</v>
      </c>
    </row>
    <row r="232" spans="1:18" ht="37.5" customHeight="1">
      <c r="A232" s="62" t="str">
        <f ca="1">IF(ISERROR(MATCH(B232,Код_КЦСР,0)),"",INDIRECT(ADDRESS(MATCH(B232,Код_КЦСР,0)+1,2,,,"КЦСР")))</f>
        <v>Муниципальная программа «Культура, традиции и народное творчество в городе Череповце» на 2013-2018 годы</v>
      </c>
      <c r="B232" s="44" t="s">
        <v>472</v>
      </c>
      <c r="C232" s="8"/>
      <c r="D232" s="1"/>
      <c r="E232" s="115"/>
      <c r="F232" s="7">
        <f>F233+F249+F280+F317+F347+F370+F389+F396+F415</f>
        <v>311891.39999999997</v>
      </c>
      <c r="G232" s="7">
        <f>G233+G249+G280+G317+G347+G370+G389+G396+G415</f>
        <v>0</v>
      </c>
      <c r="H232" s="36">
        <f t="shared" si="42"/>
        <v>311891.39999999997</v>
      </c>
      <c r="I232" s="7">
        <f>I233+I249+I280+I317+I347+I370+I389+I396+I415</f>
        <v>-512.8</v>
      </c>
      <c r="J232" s="36">
        <f t="shared" si="55"/>
        <v>311378.6</v>
      </c>
      <c r="K232" s="7">
        <f>K233+K249+K280+K317+K347+K370+K389+K396+K415</f>
        <v>-237.10000000000002</v>
      </c>
      <c r="L232" s="36">
        <f t="shared" si="52"/>
        <v>311141.5</v>
      </c>
      <c r="M232" s="7">
        <f>M233+M249+M280+M317+M347+M370+M389+M396+M415</f>
        <v>0</v>
      </c>
      <c r="N232" s="36">
        <f t="shared" si="53"/>
        <v>311141.5</v>
      </c>
      <c r="O232" s="7">
        <f>O233+O249+O280+O317+O347+O370+O389+O396+O415</f>
        <v>140.2</v>
      </c>
      <c r="P232" s="36">
        <f t="shared" si="49"/>
        <v>311281.7</v>
      </c>
      <c r="Q232" s="7">
        <f>Q233+Q249+Q280+Q317+Q347+Q370+Q389+Q396+Q415</f>
        <v>-9849.6</v>
      </c>
      <c r="R232" s="36">
        <f t="shared" si="50"/>
        <v>301432.10000000003</v>
      </c>
    </row>
    <row r="233" spans="1:18" ht="35.25" customHeight="1">
      <c r="A233" s="62" t="str">
        <f ca="1">IF(ISERROR(MATCH(B233,Код_КЦСР,0)),"",INDIRECT(ADDRESS(MATCH(B233,Код_КЦСР,0)+1,2,,,"КЦСР")))</f>
        <v>Сохранение, эффективное использование  и популяризация объектов культурного наследия</v>
      </c>
      <c r="B233" s="44" t="s">
        <v>474</v>
      </c>
      <c r="C233" s="8"/>
      <c r="D233" s="1"/>
      <c r="E233" s="115"/>
      <c r="F233" s="7">
        <f>F234+F243</f>
        <v>636.8</v>
      </c>
      <c r="G233" s="7">
        <f>G234+G243</f>
        <v>0</v>
      </c>
      <c r="H233" s="36">
        <f t="shared" si="42"/>
        <v>636.8</v>
      </c>
      <c r="I233" s="7">
        <f>I234+I243</f>
        <v>0</v>
      </c>
      <c r="J233" s="36">
        <f t="shared" si="55"/>
        <v>636.8</v>
      </c>
      <c r="K233" s="7">
        <f>K234+K243</f>
        <v>-0.3</v>
      </c>
      <c r="L233" s="36">
        <f t="shared" si="52"/>
        <v>636.5</v>
      </c>
      <c r="M233" s="7">
        <f>M234+M243</f>
        <v>0</v>
      </c>
      <c r="N233" s="36">
        <f t="shared" si="53"/>
        <v>636.5</v>
      </c>
      <c r="O233" s="7">
        <f>O234+O243</f>
        <v>0</v>
      </c>
      <c r="P233" s="36">
        <f t="shared" si="49"/>
        <v>636.5</v>
      </c>
      <c r="Q233" s="7">
        <f>Q234+Q243</f>
        <v>0</v>
      </c>
      <c r="R233" s="36">
        <f t="shared" si="50"/>
        <v>636.5</v>
      </c>
    </row>
    <row r="234" spans="1:18" ht="22.5" customHeight="1">
      <c r="A234" s="62" t="str">
        <f ca="1">IF(ISERROR(MATCH(B234,Код_КЦСР,0)),"",INDIRECT(ADDRESS(MATCH(B234,Код_КЦСР,0)+1,2,,,"КЦСР")))</f>
        <v>Сохранение, ремонт и  реставрация объектов культурного наследия</v>
      </c>
      <c r="B234" s="44" t="s">
        <v>476</v>
      </c>
      <c r="C234" s="8"/>
      <c r="D234" s="1"/>
      <c r="E234" s="115"/>
      <c r="F234" s="7">
        <f aca="true" t="shared" si="56" ref="F234:Q241">F235</f>
        <v>536.8</v>
      </c>
      <c r="G234" s="7">
        <f t="shared" si="56"/>
        <v>0</v>
      </c>
      <c r="H234" s="36">
        <f aca="true" t="shared" si="57" ref="H234:H300">F234+G234</f>
        <v>536.8</v>
      </c>
      <c r="I234" s="7">
        <f t="shared" si="56"/>
        <v>0</v>
      </c>
      <c r="J234" s="36">
        <f t="shared" si="55"/>
        <v>536.8</v>
      </c>
      <c r="K234" s="7">
        <f t="shared" si="56"/>
        <v>-0.3</v>
      </c>
      <c r="L234" s="36">
        <f t="shared" si="52"/>
        <v>536.5</v>
      </c>
      <c r="M234" s="7">
        <f t="shared" si="56"/>
        <v>0</v>
      </c>
      <c r="N234" s="36">
        <f t="shared" si="53"/>
        <v>536.5</v>
      </c>
      <c r="O234" s="7">
        <f t="shared" si="56"/>
        <v>0</v>
      </c>
      <c r="P234" s="36">
        <f t="shared" si="49"/>
        <v>536.5</v>
      </c>
      <c r="Q234" s="7">
        <f t="shared" si="56"/>
        <v>0</v>
      </c>
      <c r="R234" s="36">
        <f t="shared" si="50"/>
        <v>536.5</v>
      </c>
    </row>
    <row r="235" spans="1:18" ht="18.75" customHeight="1">
      <c r="A235" s="62" t="str">
        <f ca="1">IF(ISERROR(MATCH(C235,Код_Раздел,0)),"",INDIRECT(ADDRESS(MATCH(C235,Код_Раздел,0)+1,2,,,"Раздел")))</f>
        <v>Культура, кинематография</v>
      </c>
      <c r="B235" s="44" t="s">
        <v>476</v>
      </c>
      <c r="C235" s="8" t="s">
        <v>230</v>
      </c>
      <c r="D235" s="1"/>
      <c r="E235" s="115"/>
      <c r="F235" s="7">
        <f t="shared" si="56"/>
        <v>536.8</v>
      </c>
      <c r="G235" s="7">
        <f t="shared" si="56"/>
        <v>0</v>
      </c>
      <c r="H235" s="36">
        <f t="shared" si="57"/>
        <v>536.8</v>
      </c>
      <c r="I235" s="7">
        <f t="shared" si="56"/>
        <v>0</v>
      </c>
      <c r="J235" s="36">
        <f t="shared" si="55"/>
        <v>536.8</v>
      </c>
      <c r="K235" s="7">
        <f t="shared" si="56"/>
        <v>-0.3</v>
      </c>
      <c r="L235" s="36">
        <f t="shared" si="52"/>
        <v>536.5</v>
      </c>
      <c r="M235" s="7">
        <f t="shared" si="56"/>
        <v>0</v>
      </c>
      <c r="N235" s="36">
        <f t="shared" si="53"/>
        <v>536.5</v>
      </c>
      <c r="O235" s="7">
        <f t="shared" si="56"/>
        <v>0</v>
      </c>
      <c r="P235" s="36">
        <f t="shared" si="49"/>
        <v>536.5</v>
      </c>
      <c r="Q235" s="7">
        <f t="shared" si="56"/>
        <v>0</v>
      </c>
      <c r="R235" s="36">
        <f t="shared" si="50"/>
        <v>536.5</v>
      </c>
    </row>
    <row r="236" spans="1:18" ht="21" customHeight="1">
      <c r="A236" s="12" t="s">
        <v>192</v>
      </c>
      <c r="B236" s="44" t="s">
        <v>476</v>
      </c>
      <c r="C236" s="8" t="s">
        <v>230</v>
      </c>
      <c r="D236" s="1" t="s">
        <v>221</v>
      </c>
      <c r="E236" s="115"/>
      <c r="F236" s="7">
        <f>F240</f>
        <v>536.8</v>
      </c>
      <c r="G236" s="7">
        <f>G240</f>
        <v>0</v>
      </c>
      <c r="H236" s="36">
        <f t="shared" si="57"/>
        <v>536.8</v>
      </c>
      <c r="I236" s="7">
        <f>I240</f>
        <v>0</v>
      </c>
      <c r="J236" s="36">
        <f t="shared" si="55"/>
        <v>536.8</v>
      </c>
      <c r="K236" s="7">
        <f>K240+K237</f>
        <v>-0.3</v>
      </c>
      <c r="L236" s="36">
        <f t="shared" si="52"/>
        <v>536.5</v>
      </c>
      <c r="M236" s="7">
        <f>M240+M237</f>
        <v>0</v>
      </c>
      <c r="N236" s="36">
        <f t="shared" si="53"/>
        <v>536.5</v>
      </c>
      <c r="O236" s="7">
        <f>O240+O237</f>
        <v>0</v>
      </c>
      <c r="P236" s="36">
        <f t="shared" si="49"/>
        <v>536.5</v>
      </c>
      <c r="Q236" s="7">
        <f>Q240+Q237</f>
        <v>0</v>
      </c>
      <c r="R236" s="36">
        <f t="shared" si="50"/>
        <v>536.5</v>
      </c>
    </row>
    <row r="237" spans="1:18" ht="21" customHeight="1" hidden="1">
      <c r="A237" s="62" t="str">
        <f aca="true" t="shared" si="58" ref="A237:A242">IF(ISERROR(MATCH(E237,Код_КВР,0)),"",INDIRECT(ADDRESS(MATCH(E237,Код_КВР,0)+1,2,,,"КВР")))</f>
        <v>Закупка товаров, работ и услуг для муниципальных нужд</v>
      </c>
      <c r="B237" s="44" t="s">
        <v>476</v>
      </c>
      <c r="C237" s="8" t="s">
        <v>230</v>
      </c>
      <c r="D237" s="1" t="s">
        <v>221</v>
      </c>
      <c r="E237" s="115">
        <v>200</v>
      </c>
      <c r="F237" s="7"/>
      <c r="G237" s="7"/>
      <c r="H237" s="36"/>
      <c r="I237" s="7"/>
      <c r="J237" s="36"/>
      <c r="K237" s="7">
        <f>K238</f>
        <v>0</v>
      </c>
      <c r="L237" s="36">
        <f t="shared" si="52"/>
        <v>0</v>
      </c>
      <c r="M237" s="7">
        <f>M238</f>
        <v>0</v>
      </c>
      <c r="N237" s="36">
        <f t="shared" si="53"/>
        <v>0</v>
      </c>
      <c r="O237" s="7">
        <f>O238</f>
        <v>0</v>
      </c>
      <c r="P237" s="36">
        <f t="shared" si="49"/>
        <v>0</v>
      </c>
      <c r="Q237" s="7">
        <f>Q238</f>
        <v>0</v>
      </c>
      <c r="R237" s="36">
        <f t="shared" si="50"/>
        <v>0</v>
      </c>
    </row>
    <row r="238" spans="1:18" ht="21" customHeight="1" hidden="1">
      <c r="A238" s="62" t="str">
        <f ca="1" t="shared" si="58"/>
        <v>Иные закупки товаров, работ и услуг для обеспечения муниципальных нужд</v>
      </c>
      <c r="B238" s="44" t="s">
        <v>476</v>
      </c>
      <c r="C238" s="8" t="s">
        <v>230</v>
      </c>
      <c r="D238" s="1" t="s">
        <v>221</v>
      </c>
      <c r="E238" s="115">
        <v>240</v>
      </c>
      <c r="F238" s="7"/>
      <c r="G238" s="7"/>
      <c r="H238" s="36"/>
      <c r="I238" s="7"/>
      <c r="J238" s="36"/>
      <c r="K238" s="7">
        <f>K239</f>
        <v>0</v>
      </c>
      <c r="L238" s="36">
        <f t="shared" si="52"/>
        <v>0</v>
      </c>
      <c r="M238" s="7">
        <f>M239</f>
        <v>0</v>
      </c>
      <c r="N238" s="36">
        <f t="shared" si="53"/>
        <v>0</v>
      </c>
      <c r="O238" s="7">
        <f>O239</f>
        <v>0</v>
      </c>
      <c r="P238" s="36">
        <f t="shared" si="49"/>
        <v>0</v>
      </c>
      <c r="Q238" s="7">
        <f>Q239</f>
        <v>0</v>
      </c>
      <c r="R238" s="36">
        <f t="shared" si="50"/>
        <v>0</v>
      </c>
    </row>
    <row r="239" spans="1:18" ht="21" customHeight="1" hidden="1">
      <c r="A239" s="62" t="str">
        <f ca="1" t="shared" si="58"/>
        <v>Научно-исследовательские и опытно-конструкторские работы</v>
      </c>
      <c r="B239" s="44" t="s">
        <v>476</v>
      </c>
      <c r="C239" s="8" t="s">
        <v>230</v>
      </c>
      <c r="D239" s="1" t="s">
        <v>221</v>
      </c>
      <c r="E239" s="115">
        <v>241</v>
      </c>
      <c r="F239" s="7"/>
      <c r="G239" s="7"/>
      <c r="H239" s="36"/>
      <c r="I239" s="7"/>
      <c r="J239" s="36"/>
      <c r="K239" s="7">
        <f>'прил.5'!L957</f>
        <v>0</v>
      </c>
      <c r="L239" s="36">
        <f t="shared" si="52"/>
        <v>0</v>
      </c>
      <c r="M239" s="7">
        <f>'прил.5'!N957</f>
        <v>0</v>
      </c>
      <c r="N239" s="36">
        <f t="shared" si="53"/>
        <v>0</v>
      </c>
      <c r="O239" s="7">
        <f>'прил.5'!P957</f>
        <v>0</v>
      </c>
      <c r="P239" s="36">
        <f t="shared" si="49"/>
        <v>0</v>
      </c>
      <c r="Q239" s="7">
        <f>'прил.5'!R957</f>
        <v>0</v>
      </c>
      <c r="R239" s="36">
        <f t="shared" si="50"/>
        <v>0</v>
      </c>
    </row>
    <row r="240" spans="1:18" ht="33">
      <c r="A240" s="62" t="str">
        <f ca="1" t="shared" si="58"/>
        <v>Предоставление субсидий бюджетным, автономным учреждениям и иным некоммерческим организациям</v>
      </c>
      <c r="B240" s="44" t="s">
        <v>476</v>
      </c>
      <c r="C240" s="8" t="s">
        <v>230</v>
      </c>
      <c r="D240" s="1" t="s">
        <v>221</v>
      </c>
      <c r="E240" s="115">
        <v>600</v>
      </c>
      <c r="F240" s="7">
        <f t="shared" si="56"/>
        <v>536.8</v>
      </c>
      <c r="G240" s="7">
        <f t="shared" si="56"/>
        <v>0</v>
      </c>
      <c r="H240" s="36">
        <f t="shared" si="57"/>
        <v>536.8</v>
      </c>
      <c r="I240" s="7">
        <f t="shared" si="56"/>
        <v>0</v>
      </c>
      <c r="J240" s="36">
        <f t="shared" si="55"/>
        <v>536.8</v>
      </c>
      <c r="K240" s="7">
        <f t="shared" si="56"/>
        <v>-0.3</v>
      </c>
      <c r="L240" s="36">
        <f t="shared" si="52"/>
        <v>536.5</v>
      </c>
      <c r="M240" s="7">
        <f t="shared" si="56"/>
        <v>0</v>
      </c>
      <c r="N240" s="36">
        <f t="shared" si="53"/>
        <v>536.5</v>
      </c>
      <c r="O240" s="7">
        <f t="shared" si="56"/>
        <v>0</v>
      </c>
      <c r="P240" s="36">
        <f t="shared" si="49"/>
        <v>536.5</v>
      </c>
      <c r="Q240" s="7">
        <f t="shared" si="56"/>
        <v>0</v>
      </c>
      <c r="R240" s="36">
        <f t="shared" si="50"/>
        <v>536.5</v>
      </c>
    </row>
    <row r="241" spans="1:18" ht="12.75">
      <c r="A241" s="62" t="str">
        <f ca="1" t="shared" si="58"/>
        <v>Субсидии бюджетным учреждениям</v>
      </c>
      <c r="B241" s="44" t="s">
        <v>476</v>
      </c>
      <c r="C241" s="8" t="s">
        <v>230</v>
      </c>
      <c r="D241" s="1" t="s">
        <v>221</v>
      </c>
      <c r="E241" s="115">
        <v>610</v>
      </c>
      <c r="F241" s="7">
        <f t="shared" si="56"/>
        <v>536.8</v>
      </c>
      <c r="G241" s="7">
        <f t="shared" si="56"/>
        <v>0</v>
      </c>
      <c r="H241" s="36">
        <f t="shared" si="57"/>
        <v>536.8</v>
      </c>
      <c r="I241" s="7">
        <f t="shared" si="56"/>
        <v>0</v>
      </c>
      <c r="J241" s="36">
        <f t="shared" si="55"/>
        <v>536.8</v>
      </c>
      <c r="K241" s="7">
        <f t="shared" si="56"/>
        <v>-0.3</v>
      </c>
      <c r="L241" s="36">
        <f t="shared" si="52"/>
        <v>536.5</v>
      </c>
      <c r="M241" s="7">
        <f t="shared" si="56"/>
        <v>0</v>
      </c>
      <c r="N241" s="36">
        <f t="shared" si="53"/>
        <v>536.5</v>
      </c>
      <c r="O241" s="7">
        <f t="shared" si="56"/>
        <v>0</v>
      </c>
      <c r="P241" s="36">
        <f t="shared" si="49"/>
        <v>536.5</v>
      </c>
      <c r="Q241" s="7">
        <f t="shared" si="56"/>
        <v>0</v>
      </c>
      <c r="R241" s="36">
        <f t="shared" si="50"/>
        <v>536.5</v>
      </c>
    </row>
    <row r="242" spans="1:18" ht="49.5">
      <c r="A242" s="62" t="str">
        <f ca="1" t="shared" si="5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2" s="44" t="s">
        <v>476</v>
      </c>
      <c r="C242" s="8" t="s">
        <v>230</v>
      </c>
      <c r="D242" s="1" t="s">
        <v>221</v>
      </c>
      <c r="E242" s="115">
        <v>611</v>
      </c>
      <c r="F242" s="7">
        <f>'прил.5'!G960</f>
        <v>536.8</v>
      </c>
      <c r="G242" s="7">
        <f>'прил.5'!H960</f>
        <v>0</v>
      </c>
      <c r="H242" s="36">
        <f t="shared" si="57"/>
        <v>536.8</v>
      </c>
      <c r="I242" s="7">
        <f>'прил.5'!J960</f>
        <v>0</v>
      </c>
      <c r="J242" s="36">
        <f t="shared" si="55"/>
        <v>536.8</v>
      </c>
      <c r="K242" s="7">
        <f>'прил.5'!L960</f>
        <v>-0.3</v>
      </c>
      <c r="L242" s="36">
        <f t="shared" si="52"/>
        <v>536.5</v>
      </c>
      <c r="M242" s="7">
        <f>'прил.5'!N960</f>
        <v>0</v>
      </c>
      <c r="N242" s="36">
        <f t="shared" si="53"/>
        <v>536.5</v>
      </c>
      <c r="O242" s="7">
        <f>'прил.5'!P960</f>
        <v>0</v>
      </c>
      <c r="P242" s="36">
        <f t="shared" si="49"/>
        <v>536.5</v>
      </c>
      <c r="Q242" s="7">
        <f>'прил.5'!R960</f>
        <v>0</v>
      </c>
      <c r="R242" s="36">
        <f t="shared" si="50"/>
        <v>536.5</v>
      </c>
    </row>
    <row r="243" spans="1:18" ht="66">
      <c r="A243" s="62" t="str">
        <f ca="1">IF(ISERROR(MATCH(B243,Код_КЦСР,0)),"",INDIRECT(ADDRESS(MATCH(B243,Код_КЦСР,0)+1,2,,,"КЦСР")))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43" s="44" t="s">
        <v>478</v>
      </c>
      <c r="C243" s="8"/>
      <c r="D243" s="1"/>
      <c r="E243" s="115"/>
      <c r="F243" s="7">
        <f aca="true" t="shared" si="59" ref="F243:Q247">F244</f>
        <v>100</v>
      </c>
      <c r="G243" s="7">
        <f t="shared" si="59"/>
        <v>0</v>
      </c>
      <c r="H243" s="36">
        <f t="shared" si="57"/>
        <v>100</v>
      </c>
      <c r="I243" s="7">
        <f t="shared" si="59"/>
        <v>0</v>
      </c>
      <c r="J243" s="36">
        <f t="shared" si="55"/>
        <v>100</v>
      </c>
      <c r="K243" s="7">
        <f t="shared" si="59"/>
        <v>0</v>
      </c>
      <c r="L243" s="36">
        <f t="shared" si="52"/>
        <v>100</v>
      </c>
      <c r="M243" s="7">
        <f t="shared" si="59"/>
        <v>0</v>
      </c>
      <c r="N243" s="36">
        <f t="shared" si="53"/>
        <v>100</v>
      </c>
      <c r="O243" s="7">
        <f t="shared" si="59"/>
        <v>0</v>
      </c>
      <c r="P243" s="36">
        <f t="shared" si="49"/>
        <v>100</v>
      </c>
      <c r="Q243" s="7">
        <f t="shared" si="59"/>
        <v>0</v>
      </c>
      <c r="R243" s="36">
        <f t="shared" si="50"/>
        <v>100</v>
      </c>
    </row>
    <row r="244" spans="1:18" ht="12.75">
      <c r="A244" s="62" t="str">
        <f ca="1">IF(ISERROR(MATCH(C244,Код_Раздел,0)),"",INDIRECT(ADDRESS(MATCH(C244,Код_Раздел,0)+1,2,,,"Раздел")))</f>
        <v>Культура, кинематография</v>
      </c>
      <c r="B244" s="44" t="s">
        <v>478</v>
      </c>
      <c r="C244" s="8" t="s">
        <v>230</v>
      </c>
      <c r="D244" s="1"/>
      <c r="E244" s="115"/>
      <c r="F244" s="7">
        <f t="shared" si="59"/>
        <v>100</v>
      </c>
      <c r="G244" s="7">
        <f t="shared" si="59"/>
        <v>0</v>
      </c>
      <c r="H244" s="36">
        <f t="shared" si="57"/>
        <v>100</v>
      </c>
      <c r="I244" s="7">
        <f t="shared" si="59"/>
        <v>0</v>
      </c>
      <c r="J244" s="36">
        <f t="shared" si="55"/>
        <v>100</v>
      </c>
      <c r="K244" s="7">
        <f t="shared" si="59"/>
        <v>0</v>
      </c>
      <c r="L244" s="36">
        <f t="shared" si="52"/>
        <v>100</v>
      </c>
      <c r="M244" s="7">
        <f t="shared" si="59"/>
        <v>0</v>
      </c>
      <c r="N244" s="36">
        <f t="shared" si="53"/>
        <v>100</v>
      </c>
      <c r="O244" s="7">
        <f t="shared" si="59"/>
        <v>0</v>
      </c>
      <c r="P244" s="36">
        <f t="shared" si="49"/>
        <v>100</v>
      </c>
      <c r="Q244" s="7">
        <f t="shared" si="59"/>
        <v>0</v>
      </c>
      <c r="R244" s="36">
        <f t="shared" si="50"/>
        <v>100</v>
      </c>
    </row>
    <row r="245" spans="1:18" ht="12.75">
      <c r="A245" s="12" t="s">
        <v>171</v>
      </c>
      <c r="B245" s="44" t="s">
        <v>478</v>
      </c>
      <c r="C245" s="8" t="s">
        <v>230</v>
      </c>
      <c r="D245" s="1" t="s">
        <v>224</v>
      </c>
      <c r="E245" s="115"/>
      <c r="F245" s="7">
        <f t="shared" si="59"/>
        <v>100</v>
      </c>
      <c r="G245" s="7">
        <f t="shared" si="59"/>
        <v>0</v>
      </c>
      <c r="H245" s="36">
        <f t="shared" si="57"/>
        <v>100</v>
      </c>
      <c r="I245" s="7">
        <f t="shared" si="59"/>
        <v>0</v>
      </c>
      <c r="J245" s="36">
        <f t="shared" si="55"/>
        <v>100</v>
      </c>
      <c r="K245" s="7">
        <f t="shared" si="59"/>
        <v>0</v>
      </c>
      <c r="L245" s="36">
        <f t="shared" si="52"/>
        <v>100</v>
      </c>
      <c r="M245" s="7">
        <f t="shared" si="59"/>
        <v>0</v>
      </c>
      <c r="N245" s="36">
        <f t="shared" si="53"/>
        <v>100</v>
      </c>
      <c r="O245" s="7">
        <f t="shared" si="59"/>
        <v>0</v>
      </c>
      <c r="P245" s="36">
        <f t="shared" si="49"/>
        <v>100</v>
      </c>
      <c r="Q245" s="7">
        <f t="shared" si="59"/>
        <v>0</v>
      </c>
      <c r="R245" s="36">
        <f t="shared" si="50"/>
        <v>100</v>
      </c>
    </row>
    <row r="246" spans="1:18" ht="33">
      <c r="A246" s="62" t="str">
        <f ca="1">IF(ISERROR(MATCH(E246,Код_КВР,0)),"",INDIRECT(ADDRESS(MATCH(E246,Код_КВР,0)+1,2,,,"КВР")))</f>
        <v>Предоставление субсидий бюджетным, автономным учреждениям и иным некоммерческим организациям</v>
      </c>
      <c r="B246" s="44" t="s">
        <v>478</v>
      </c>
      <c r="C246" s="8" t="s">
        <v>230</v>
      </c>
      <c r="D246" s="1" t="s">
        <v>224</v>
      </c>
      <c r="E246" s="115">
        <v>600</v>
      </c>
      <c r="F246" s="7">
        <f t="shared" si="59"/>
        <v>100</v>
      </c>
      <c r="G246" s="7">
        <f t="shared" si="59"/>
        <v>0</v>
      </c>
      <c r="H246" s="36">
        <f t="shared" si="57"/>
        <v>100</v>
      </c>
      <c r="I246" s="7">
        <f t="shared" si="59"/>
        <v>0</v>
      </c>
      <c r="J246" s="36">
        <f t="shared" si="55"/>
        <v>100</v>
      </c>
      <c r="K246" s="7">
        <f t="shared" si="59"/>
        <v>0</v>
      </c>
      <c r="L246" s="36">
        <f t="shared" si="52"/>
        <v>100</v>
      </c>
      <c r="M246" s="7">
        <f t="shared" si="59"/>
        <v>0</v>
      </c>
      <c r="N246" s="36">
        <f t="shared" si="53"/>
        <v>100</v>
      </c>
      <c r="O246" s="7">
        <f t="shared" si="59"/>
        <v>0</v>
      </c>
      <c r="P246" s="36">
        <f t="shared" si="49"/>
        <v>100</v>
      </c>
      <c r="Q246" s="7">
        <f t="shared" si="59"/>
        <v>0</v>
      </c>
      <c r="R246" s="36">
        <f t="shared" si="50"/>
        <v>100</v>
      </c>
    </row>
    <row r="247" spans="1:18" ht="12.75">
      <c r="A247" s="62" t="str">
        <f ca="1">IF(ISERROR(MATCH(E247,Код_КВР,0)),"",INDIRECT(ADDRESS(MATCH(E247,Код_КВР,0)+1,2,,,"КВР")))</f>
        <v>Субсидии бюджетным учреждениям</v>
      </c>
      <c r="B247" s="44" t="s">
        <v>478</v>
      </c>
      <c r="C247" s="8" t="s">
        <v>230</v>
      </c>
      <c r="D247" s="1" t="s">
        <v>224</v>
      </c>
      <c r="E247" s="115">
        <v>610</v>
      </c>
      <c r="F247" s="7">
        <f t="shared" si="59"/>
        <v>100</v>
      </c>
      <c r="G247" s="7">
        <f t="shared" si="59"/>
        <v>0</v>
      </c>
      <c r="H247" s="36">
        <f t="shared" si="57"/>
        <v>100</v>
      </c>
      <c r="I247" s="7">
        <f t="shared" si="59"/>
        <v>0</v>
      </c>
      <c r="J247" s="36">
        <f t="shared" si="55"/>
        <v>100</v>
      </c>
      <c r="K247" s="7">
        <f t="shared" si="59"/>
        <v>0</v>
      </c>
      <c r="L247" s="36">
        <f t="shared" si="52"/>
        <v>100</v>
      </c>
      <c r="M247" s="7">
        <f t="shared" si="59"/>
        <v>0</v>
      </c>
      <c r="N247" s="36">
        <f t="shared" si="53"/>
        <v>100</v>
      </c>
      <c r="O247" s="7">
        <f t="shared" si="59"/>
        <v>0</v>
      </c>
      <c r="P247" s="36">
        <f t="shared" si="49"/>
        <v>100</v>
      </c>
      <c r="Q247" s="7">
        <f t="shared" si="59"/>
        <v>0</v>
      </c>
      <c r="R247" s="36">
        <f t="shared" si="50"/>
        <v>100</v>
      </c>
    </row>
    <row r="248" spans="1:18" ht="12.75">
      <c r="A248" s="62" t="str">
        <f ca="1">IF(ISERROR(MATCH(E248,Код_КВР,0)),"",INDIRECT(ADDRESS(MATCH(E248,Код_КВР,0)+1,2,,,"КВР")))</f>
        <v>Субсидии бюджетным учреждениям на иные цели</v>
      </c>
      <c r="B248" s="44" t="s">
        <v>478</v>
      </c>
      <c r="C248" s="8" t="s">
        <v>230</v>
      </c>
      <c r="D248" s="1" t="s">
        <v>224</v>
      </c>
      <c r="E248" s="115">
        <v>612</v>
      </c>
      <c r="F248" s="7">
        <f>'прил.5'!G1029</f>
        <v>100</v>
      </c>
      <c r="G248" s="7">
        <f>'прил.5'!H1029</f>
        <v>0</v>
      </c>
      <c r="H248" s="36">
        <f t="shared" si="57"/>
        <v>100</v>
      </c>
      <c r="I248" s="7">
        <f>'прил.5'!J1029</f>
        <v>0</v>
      </c>
      <c r="J248" s="36">
        <f t="shared" si="55"/>
        <v>100</v>
      </c>
      <c r="K248" s="7">
        <f>'прил.5'!L1029</f>
        <v>0</v>
      </c>
      <c r="L248" s="36">
        <f t="shared" si="52"/>
        <v>100</v>
      </c>
      <c r="M248" s="7">
        <f>'прил.5'!N1029</f>
        <v>0</v>
      </c>
      <c r="N248" s="36">
        <f t="shared" si="53"/>
        <v>100</v>
      </c>
      <c r="O248" s="7">
        <f>'прил.5'!P1029</f>
        <v>0</v>
      </c>
      <c r="P248" s="36">
        <f t="shared" si="49"/>
        <v>100</v>
      </c>
      <c r="Q248" s="7">
        <f>'прил.5'!R1029</f>
        <v>0</v>
      </c>
      <c r="R248" s="36">
        <f t="shared" si="50"/>
        <v>100</v>
      </c>
    </row>
    <row r="249" spans="1:18" ht="12.75">
      <c r="A249" s="62" t="str">
        <f ca="1">IF(ISERROR(MATCH(B249,Код_КЦСР,0)),"",INDIRECT(ADDRESS(MATCH(B249,Код_КЦСР,0)+1,2,,,"КЦСР")))</f>
        <v>Развитие музейного дела</v>
      </c>
      <c r="B249" s="44" t="s">
        <v>479</v>
      </c>
      <c r="C249" s="8"/>
      <c r="D249" s="1"/>
      <c r="E249" s="115"/>
      <c r="F249" s="7">
        <f>F250+F256+F262+F268+F274</f>
        <v>45009.200000000004</v>
      </c>
      <c r="G249" s="7">
        <f>G250+G256+G262+G268+G274</f>
        <v>0</v>
      </c>
      <c r="H249" s="36">
        <f t="shared" si="57"/>
        <v>45009.200000000004</v>
      </c>
      <c r="I249" s="7">
        <f>I250+I256+I262+I268+I274</f>
        <v>0</v>
      </c>
      <c r="J249" s="36">
        <f t="shared" si="55"/>
        <v>45009.200000000004</v>
      </c>
      <c r="K249" s="7">
        <f>K250+K256+K262+K268+K274</f>
        <v>-26.4</v>
      </c>
      <c r="L249" s="36">
        <f t="shared" si="52"/>
        <v>44982.8</v>
      </c>
      <c r="M249" s="7">
        <f>M250+M256+M262+M268+M274</f>
        <v>0</v>
      </c>
      <c r="N249" s="36">
        <f t="shared" si="53"/>
        <v>44982.8</v>
      </c>
      <c r="O249" s="7">
        <f>O250+O256+O262+O268+O274</f>
        <v>0</v>
      </c>
      <c r="P249" s="36">
        <f t="shared" si="49"/>
        <v>44982.8</v>
      </c>
      <c r="Q249" s="7">
        <f>Q250+Q256+Q262+Q268+Q274</f>
        <v>0</v>
      </c>
      <c r="R249" s="36">
        <f t="shared" si="50"/>
        <v>44982.8</v>
      </c>
    </row>
    <row r="250" spans="1:18" ht="86.25" customHeight="1">
      <c r="A250" s="62" t="str">
        <f ca="1">IF(ISERROR(MATCH(B250,Код_КЦСР,0)),"",INDIRECT(ADDRESS(MATCH(B250,Код_КЦСР,0)+1,2,,,"КЦСР")))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50" s="44" t="s">
        <v>480</v>
      </c>
      <c r="C250" s="8"/>
      <c r="D250" s="1"/>
      <c r="E250" s="115"/>
      <c r="F250" s="7">
        <f aca="true" t="shared" si="60" ref="F250:Q254">F251</f>
        <v>270</v>
      </c>
      <c r="G250" s="7">
        <f t="shared" si="60"/>
        <v>0</v>
      </c>
      <c r="H250" s="36">
        <f t="shared" si="57"/>
        <v>270</v>
      </c>
      <c r="I250" s="7">
        <f t="shared" si="60"/>
        <v>0</v>
      </c>
      <c r="J250" s="36">
        <f t="shared" si="55"/>
        <v>270</v>
      </c>
      <c r="K250" s="7">
        <f t="shared" si="60"/>
        <v>0</v>
      </c>
      <c r="L250" s="36">
        <f t="shared" si="52"/>
        <v>270</v>
      </c>
      <c r="M250" s="7">
        <f t="shared" si="60"/>
        <v>0</v>
      </c>
      <c r="N250" s="36">
        <f t="shared" si="53"/>
        <v>270</v>
      </c>
      <c r="O250" s="7">
        <f t="shared" si="60"/>
        <v>0</v>
      </c>
      <c r="P250" s="36">
        <f t="shared" si="49"/>
        <v>270</v>
      </c>
      <c r="Q250" s="7">
        <f t="shared" si="60"/>
        <v>0</v>
      </c>
      <c r="R250" s="36">
        <f t="shared" si="50"/>
        <v>270</v>
      </c>
    </row>
    <row r="251" spans="1:18" ht="18.75" customHeight="1">
      <c r="A251" s="62" t="str">
        <f ca="1">IF(ISERROR(MATCH(C251,Код_Раздел,0)),"",INDIRECT(ADDRESS(MATCH(C251,Код_Раздел,0)+1,2,,,"Раздел")))</f>
        <v>Культура, кинематография</v>
      </c>
      <c r="B251" s="44" t="s">
        <v>480</v>
      </c>
      <c r="C251" s="8" t="s">
        <v>230</v>
      </c>
      <c r="D251" s="1"/>
      <c r="E251" s="115"/>
      <c r="F251" s="7">
        <f t="shared" si="60"/>
        <v>270</v>
      </c>
      <c r="G251" s="7">
        <f t="shared" si="60"/>
        <v>0</v>
      </c>
      <c r="H251" s="36">
        <f t="shared" si="57"/>
        <v>270</v>
      </c>
      <c r="I251" s="7">
        <f t="shared" si="60"/>
        <v>0</v>
      </c>
      <c r="J251" s="36">
        <f t="shared" si="55"/>
        <v>270</v>
      </c>
      <c r="K251" s="7">
        <f t="shared" si="60"/>
        <v>0</v>
      </c>
      <c r="L251" s="36">
        <f t="shared" si="52"/>
        <v>270</v>
      </c>
      <c r="M251" s="7">
        <f t="shared" si="60"/>
        <v>0</v>
      </c>
      <c r="N251" s="36">
        <f t="shared" si="53"/>
        <v>270</v>
      </c>
      <c r="O251" s="7">
        <f t="shared" si="60"/>
        <v>0</v>
      </c>
      <c r="P251" s="36">
        <f t="shared" si="49"/>
        <v>270</v>
      </c>
      <c r="Q251" s="7">
        <f t="shared" si="60"/>
        <v>0</v>
      </c>
      <c r="R251" s="36">
        <f t="shared" si="50"/>
        <v>270</v>
      </c>
    </row>
    <row r="252" spans="1:18" ht="22.5" customHeight="1">
      <c r="A252" s="12" t="s">
        <v>171</v>
      </c>
      <c r="B252" s="44" t="s">
        <v>480</v>
      </c>
      <c r="C252" s="8" t="s">
        <v>230</v>
      </c>
      <c r="D252" s="1" t="s">
        <v>224</v>
      </c>
      <c r="E252" s="115"/>
      <c r="F252" s="7">
        <f t="shared" si="60"/>
        <v>270</v>
      </c>
      <c r="G252" s="7">
        <f t="shared" si="60"/>
        <v>0</v>
      </c>
      <c r="H252" s="36">
        <f t="shared" si="57"/>
        <v>270</v>
      </c>
      <c r="I252" s="7">
        <f t="shared" si="60"/>
        <v>0</v>
      </c>
      <c r="J252" s="36">
        <f t="shared" si="55"/>
        <v>270</v>
      </c>
      <c r="K252" s="7">
        <f t="shared" si="60"/>
        <v>0</v>
      </c>
      <c r="L252" s="36">
        <f t="shared" si="52"/>
        <v>270</v>
      </c>
      <c r="M252" s="7">
        <f t="shared" si="60"/>
        <v>0</v>
      </c>
      <c r="N252" s="36">
        <f t="shared" si="53"/>
        <v>270</v>
      </c>
      <c r="O252" s="7">
        <f t="shared" si="60"/>
        <v>0</v>
      </c>
      <c r="P252" s="36">
        <f t="shared" si="49"/>
        <v>270</v>
      </c>
      <c r="Q252" s="7">
        <f t="shared" si="60"/>
        <v>0</v>
      </c>
      <c r="R252" s="36">
        <f t="shared" si="50"/>
        <v>270</v>
      </c>
    </row>
    <row r="253" spans="1:18" ht="35.25" customHeight="1">
      <c r="A253" s="62" t="str">
        <f ca="1">IF(ISERROR(MATCH(E253,Код_КВР,0)),"",INDIRECT(ADDRESS(MATCH(E253,Код_КВР,0)+1,2,,,"КВР")))</f>
        <v>Предоставление субсидий бюджетным, автономным учреждениям и иным некоммерческим организациям</v>
      </c>
      <c r="B253" s="44" t="s">
        <v>480</v>
      </c>
      <c r="C253" s="8" t="s">
        <v>230</v>
      </c>
      <c r="D253" s="1" t="s">
        <v>224</v>
      </c>
      <c r="E253" s="115">
        <v>600</v>
      </c>
      <c r="F253" s="7">
        <f t="shared" si="60"/>
        <v>270</v>
      </c>
      <c r="G253" s="7">
        <f t="shared" si="60"/>
        <v>0</v>
      </c>
      <c r="H253" s="36">
        <f t="shared" si="57"/>
        <v>270</v>
      </c>
      <c r="I253" s="7">
        <f t="shared" si="60"/>
        <v>0</v>
      </c>
      <c r="J253" s="36">
        <f t="shared" si="55"/>
        <v>270</v>
      </c>
      <c r="K253" s="7">
        <f t="shared" si="60"/>
        <v>0</v>
      </c>
      <c r="L253" s="36">
        <f t="shared" si="52"/>
        <v>270</v>
      </c>
      <c r="M253" s="7">
        <f t="shared" si="60"/>
        <v>0</v>
      </c>
      <c r="N253" s="36">
        <f t="shared" si="53"/>
        <v>270</v>
      </c>
      <c r="O253" s="7">
        <f t="shared" si="60"/>
        <v>0</v>
      </c>
      <c r="P253" s="36">
        <f t="shared" si="49"/>
        <v>270</v>
      </c>
      <c r="Q253" s="7">
        <f t="shared" si="60"/>
        <v>0</v>
      </c>
      <c r="R253" s="36">
        <f t="shared" si="50"/>
        <v>270</v>
      </c>
    </row>
    <row r="254" spans="1:18" ht="22.5" customHeight="1">
      <c r="A254" s="62" t="str">
        <f ca="1">IF(ISERROR(MATCH(E254,Код_КВР,0)),"",INDIRECT(ADDRESS(MATCH(E254,Код_КВР,0)+1,2,,,"КВР")))</f>
        <v>Субсидии бюджетным учреждениям</v>
      </c>
      <c r="B254" s="44" t="s">
        <v>480</v>
      </c>
      <c r="C254" s="8" t="s">
        <v>230</v>
      </c>
      <c r="D254" s="1" t="s">
        <v>224</v>
      </c>
      <c r="E254" s="115">
        <v>610</v>
      </c>
      <c r="F254" s="7">
        <f t="shared" si="60"/>
        <v>270</v>
      </c>
      <c r="G254" s="7">
        <f t="shared" si="60"/>
        <v>0</v>
      </c>
      <c r="H254" s="36">
        <f t="shared" si="57"/>
        <v>270</v>
      </c>
      <c r="I254" s="7">
        <f t="shared" si="60"/>
        <v>0</v>
      </c>
      <c r="J254" s="36">
        <f t="shared" si="55"/>
        <v>270</v>
      </c>
      <c r="K254" s="7">
        <f t="shared" si="60"/>
        <v>0</v>
      </c>
      <c r="L254" s="36">
        <f t="shared" si="52"/>
        <v>270</v>
      </c>
      <c r="M254" s="7">
        <f t="shared" si="60"/>
        <v>0</v>
      </c>
      <c r="N254" s="36">
        <f t="shared" si="53"/>
        <v>270</v>
      </c>
      <c r="O254" s="7">
        <f t="shared" si="60"/>
        <v>0</v>
      </c>
      <c r="P254" s="36">
        <f t="shared" si="49"/>
        <v>270</v>
      </c>
      <c r="Q254" s="7">
        <f t="shared" si="60"/>
        <v>0</v>
      </c>
      <c r="R254" s="36">
        <f t="shared" si="50"/>
        <v>270</v>
      </c>
    </row>
    <row r="255" spans="1:18" ht="20.25" customHeight="1">
      <c r="A255" s="62" t="str">
        <f ca="1">IF(ISERROR(MATCH(E255,Код_КВР,0)),"",INDIRECT(ADDRESS(MATCH(E255,Код_КВР,0)+1,2,,,"КВР")))</f>
        <v>Субсидии бюджетным учреждениям на иные цели</v>
      </c>
      <c r="B255" s="44" t="s">
        <v>480</v>
      </c>
      <c r="C255" s="8" t="s">
        <v>230</v>
      </c>
      <c r="D255" s="1" t="s">
        <v>224</v>
      </c>
      <c r="E255" s="115">
        <v>612</v>
      </c>
      <c r="F255" s="7">
        <f>'прил.5'!G1034</f>
        <v>270</v>
      </c>
      <c r="G255" s="7">
        <f>'прил.5'!H1034</f>
        <v>0</v>
      </c>
      <c r="H255" s="36">
        <f t="shared" si="57"/>
        <v>270</v>
      </c>
      <c r="I255" s="7">
        <f>'прил.5'!J1034</f>
        <v>0</v>
      </c>
      <c r="J255" s="36">
        <f t="shared" si="55"/>
        <v>270</v>
      </c>
      <c r="K255" s="7">
        <f>'прил.5'!L1034</f>
        <v>0</v>
      </c>
      <c r="L255" s="36">
        <f t="shared" si="52"/>
        <v>270</v>
      </c>
      <c r="M255" s="7">
        <f>'прил.5'!N1034</f>
        <v>0</v>
      </c>
      <c r="N255" s="36">
        <f t="shared" si="53"/>
        <v>270</v>
      </c>
      <c r="O255" s="7">
        <f>'прил.5'!P1034</f>
        <v>0</v>
      </c>
      <c r="P255" s="36">
        <f t="shared" si="49"/>
        <v>270</v>
      </c>
      <c r="Q255" s="7">
        <f>'прил.5'!R1034</f>
        <v>0</v>
      </c>
      <c r="R255" s="36">
        <f t="shared" si="50"/>
        <v>270</v>
      </c>
    </row>
    <row r="256" spans="1:18" ht="55.5" customHeight="1">
      <c r="A256" s="62" t="str">
        <f ca="1">IF(ISERROR(MATCH(B256,Код_КЦСР,0)),"",INDIRECT(ADDRESS(MATCH(B256,Код_КЦСР,0)+1,2,,,"КЦСР")))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56" s="44" t="s">
        <v>482</v>
      </c>
      <c r="C256" s="8"/>
      <c r="D256" s="1"/>
      <c r="E256" s="115"/>
      <c r="F256" s="7">
        <f aca="true" t="shared" si="61" ref="F256:Q260">F257</f>
        <v>412</v>
      </c>
      <c r="G256" s="7">
        <f t="shared" si="61"/>
        <v>0</v>
      </c>
      <c r="H256" s="36">
        <f t="shared" si="57"/>
        <v>412</v>
      </c>
      <c r="I256" s="7">
        <f t="shared" si="61"/>
        <v>0</v>
      </c>
      <c r="J256" s="36">
        <f t="shared" si="55"/>
        <v>412</v>
      </c>
      <c r="K256" s="7">
        <f t="shared" si="61"/>
        <v>0</v>
      </c>
      <c r="L256" s="36">
        <f t="shared" si="52"/>
        <v>412</v>
      </c>
      <c r="M256" s="7">
        <f t="shared" si="61"/>
        <v>0</v>
      </c>
      <c r="N256" s="36">
        <f t="shared" si="53"/>
        <v>412</v>
      </c>
      <c r="O256" s="7">
        <f t="shared" si="61"/>
        <v>0</v>
      </c>
      <c r="P256" s="36">
        <f t="shared" si="49"/>
        <v>412</v>
      </c>
      <c r="Q256" s="7">
        <f t="shared" si="61"/>
        <v>0</v>
      </c>
      <c r="R256" s="36">
        <f t="shared" si="50"/>
        <v>412</v>
      </c>
    </row>
    <row r="257" spans="1:18" ht="19.5" customHeight="1">
      <c r="A257" s="62" t="str">
        <f ca="1">IF(ISERROR(MATCH(C257,Код_Раздел,0)),"",INDIRECT(ADDRESS(MATCH(C257,Код_Раздел,0)+1,2,,,"Раздел")))</f>
        <v>Культура, кинематография</v>
      </c>
      <c r="B257" s="44" t="s">
        <v>482</v>
      </c>
      <c r="C257" s="8" t="s">
        <v>230</v>
      </c>
      <c r="D257" s="1"/>
      <c r="E257" s="115"/>
      <c r="F257" s="7">
        <f t="shared" si="61"/>
        <v>412</v>
      </c>
      <c r="G257" s="7">
        <f t="shared" si="61"/>
        <v>0</v>
      </c>
      <c r="H257" s="36">
        <f t="shared" si="57"/>
        <v>412</v>
      </c>
      <c r="I257" s="7">
        <f t="shared" si="61"/>
        <v>0</v>
      </c>
      <c r="J257" s="36">
        <f t="shared" si="55"/>
        <v>412</v>
      </c>
      <c r="K257" s="7">
        <f t="shared" si="61"/>
        <v>0</v>
      </c>
      <c r="L257" s="36">
        <f t="shared" si="52"/>
        <v>412</v>
      </c>
      <c r="M257" s="7">
        <f t="shared" si="61"/>
        <v>0</v>
      </c>
      <c r="N257" s="36">
        <f t="shared" si="53"/>
        <v>412</v>
      </c>
      <c r="O257" s="7">
        <f t="shared" si="61"/>
        <v>0</v>
      </c>
      <c r="P257" s="36">
        <f t="shared" si="49"/>
        <v>412</v>
      </c>
      <c r="Q257" s="7">
        <f t="shared" si="61"/>
        <v>0</v>
      </c>
      <c r="R257" s="36">
        <f t="shared" si="50"/>
        <v>412</v>
      </c>
    </row>
    <row r="258" spans="1:18" ht="21" customHeight="1">
      <c r="A258" s="12" t="s">
        <v>171</v>
      </c>
      <c r="B258" s="44" t="s">
        <v>482</v>
      </c>
      <c r="C258" s="8" t="s">
        <v>230</v>
      </c>
      <c r="D258" s="1" t="s">
        <v>224</v>
      </c>
      <c r="E258" s="115"/>
      <c r="F258" s="7">
        <f t="shared" si="61"/>
        <v>412</v>
      </c>
      <c r="G258" s="7">
        <f t="shared" si="61"/>
        <v>0</v>
      </c>
      <c r="H258" s="36">
        <f t="shared" si="57"/>
        <v>412</v>
      </c>
      <c r="I258" s="7">
        <f t="shared" si="61"/>
        <v>0</v>
      </c>
      <c r="J258" s="36">
        <f t="shared" si="55"/>
        <v>412</v>
      </c>
      <c r="K258" s="7">
        <f t="shared" si="61"/>
        <v>0</v>
      </c>
      <c r="L258" s="36">
        <f t="shared" si="52"/>
        <v>412</v>
      </c>
      <c r="M258" s="7">
        <f t="shared" si="61"/>
        <v>0</v>
      </c>
      <c r="N258" s="36">
        <f t="shared" si="53"/>
        <v>412</v>
      </c>
      <c r="O258" s="7">
        <f t="shared" si="61"/>
        <v>0</v>
      </c>
      <c r="P258" s="36">
        <f t="shared" si="49"/>
        <v>412</v>
      </c>
      <c r="Q258" s="7">
        <f t="shared" si="61"/>
        <v>0</v>
      </c>
      <c r="R258" s="36">
        <f t="shared" si="50"/>
        <v>412</v>
      </c>
    </row>
    <row r="259" spans="1:18" ht="35.25" customHeight="1">
      <c r="A259" s="62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44" t="s">
        <v>482</v>
      </c>
      <c r="C259" s="8" t="s">
        <v>230</v>
      </c>
      <c r="D259" s="1" t="s">
        <v>224</v>
      </c>
      <c r="E259" s="115">
        <v>600</v>
      </c>
      <c r="F259" s="7">
        <f t="shared" si="61"/>
        <v>412</v>
      </c>
      <c r="G259" s="7">
        <f t="shared" si="61"/>
        <v>0</v>
      </c>
      <c r="H259" s="36">
        <f t="shared" si="57"/>
        <v>412</v>
      </c>
      <c r="I259" s="7">
        <f t="shared" si="61"/>
        <v>0</v>
      </c>
      <c r="J259" s="36">
        <f t="shared" si="55"/>
        <v>412</v>
      </c>
      <c r="K259" s="7">
        <f t="shared" si="61"/>
        <v>0</v>
      </c>
      <c r="L259" s="36">
        <f t="shared" si="52"/>
        <v>412</v>
      </c>
      <c r="M259" s="7">
        <f t="shared" si="61"/>
        <v>0</v>
      </c>
      <c r="N259" s="36">
        <f t="shared" si="53"/>
        <v>412</v>
      </c>
      <c r="O259" s="7">
        <f t="shared" si="61"/>
        <v>0</v>
      </c>
      <c r="P259" s="36">
        <f t="shared" si="49"/>
        <v>412</v>
      </c>
      <c r="Q259" s="7">
        <f t="shared" si="61"/>
        <v>0</v>
      </c>
      <c r="R259" s="36">
        <f t="shared" si="50"/>
        <v>412</v>
      </c>
    </row>
    <row r="260" spans="1:18" ht="19.5" customHeight="1">
      <c r="A260" s="62" t="str">
        <f ca="1">IF(ISERROR(MATCH(E260,Код_КВР,0)),"",INDIRECT(ADDRESS(MATCH(E260,Код_КВР,0)+1,2,,,"КВР")))</f>
        <v>Субсидии бюджетным учреждениям</v>
      </c>
      <c r="B260" s="44" t="s">
        <v>482</v>
      </c>
      <c r="C260" s="8" t="s">
        <v>230</v>
      </c>
      <c r="D260" s="1" t="s">
        <v>224</v>
      </c>
      <c r="E260" s="115">
        <v>610</v>
      </c>
      <c r="F260" s="7">
        <f t="shared" si="61"/>
        <v>412</v>
      </c>
      <c r="G260" s="7">
        <f t="shared" si="61"/>
        <v>0</v>
      </c>
      <c r="H260" s="36">
        <f t="shared" si="57"/>
        <v>412</v>
      </c>
      <c r="I260" s="7">
        <f t="shared" si="61"/>
        <v>0</v>
      </c>
      <c r="J260" s="36">
        <f t="shared" si="55"/>
        <v>412</v>
      </c>
      <c r="K260" s="7">
        <f t="shared" si="61"/>
        <v>0</v>
      </c>
      <c r="L260" s="36">
        <f t="shared" si="52"/>
        <v>412</v>
      </c>
      <c r="M260" s="7">
        <f t="shared" si="61"/>
        <v>0</v>
      </c>
      <c r="N260" s="36">
        <f t="shared" si="53"/>
        <v>412</v>
      </c>
      <c r="O260" s="7">
        <f t="shared" si="61"/>
        <v>0</v>
      </c>
      <c r="P260" s="36">
        <f t="shared" si="49"/>
        <v>412</v>
      </c>
      <c r="Q260" s="7">
        <f t="shared" si="61"/>
        <v>0</v>
      </c>
      <c r="R260" s="36">
        <f t="shared" si="50"/>
        <v>412</v>
      </c>
    </row>
    <row r="261" spans="1:18" ht="22.5" customHeight="1">
      <c r="A261" s="62" t="str">
        <f ca="1">IF(ISERROR(MATCH(E261,Код_КВР,0)),"",INDIRECT(ADDRESS(MATCH(E261,Код_КВР,0)+1,2,,,"КВР")))</f>
        <v>Субсидии бюджетным учреждениям на иные цели</v>
      </c>
      <c r="B261" s="44" t="s">
        <v>482</v>
      </c>
      <c r="C261" s="8" t="s">
        <v>230</v>
      </c>
      <c r="D261" s="1" t="s">
        <v>224</v>
      </c>
      <c r="E261" s="115">
        <v>612</v>
      </c>
      <c r="F261" s="7">
        <f>'прил.5'!G1038</f>
        <v>412</v>
      </c>
      <c r="G261" s="7">
        <f>'прил.5'!H1038</f>
        <v>0</v>
      </c>
      <c r="H261" s="36">
        <f t="shared" si="57"/>
        <v>412</v>
      </c>
      <c r="I261" s="7">
        <f>'прил.5'!J1038</f>
        <v>0</v>
      </c>
      <c r="J261" s="36">
        <f t="shared" si="55"/>
        <v>412</v>
      </c>
      <c r="K261" s="7">
        <f>'прил.5'!L1038</f>
        <v>0</v>
      </c>
      <c r="L261" s="36">
        <f t="shared" si="52"/>
        <v>412</v>
      </c>
      <c r="M261" s="7">
        <f>'прил.5'!N1038</f>
        <v>0</v>
      </c>
      <c r="N261" s="36">
        <f t="shared" si="53"/>
        <v>412</v>
      </c>
      <c r="O261" s="7">
        <f>'прил.5'!P1038</f>
        <v>0</v>
      </c>
      <c r="P261" s="36">
        <f t="shared" si="49"/>
        <v>412</v>
      </c>
      <c r="Q261" s="7">
        <f>'прил.5'!R1038</f>
        <v>0</v>
      </c>
      <c r="R261" s="36">
        <f t="shared" si="50"/>
        <v>412</v>
      </c>
    </row>
    <row r="262" spans="1:18" ht="17.25" customHeight="1">
      <c r="A262" s="62" t="str">
        <f ca="1">IF(ISERROR(MATCH(B262,Код_КЦСР,0)),"",INDIRECT(ADDRESS(MATCH(B262,Код_КЦСР,0)+1,2,,,"КЦСР")))</f>
        <v xml:space="preserve">Оказание муниципальных услуг </v>
      </c>
      <c r="B262" s="44" t="s">
        <v>484</v>
      </c>
      <c r="C262" s="8"/>
      <c r="D262" s="1"/>
      <c r="E262" s="115"/>
      <c r="F262" s="7">
        <f aca="true" t="shared" si="62" ref="F262:Q266">F263</f>
        <v>25054</v>
      </c>
      <c r="G262" s="7">
        <f t="shared" si="62"/>
        <v>0</v>
      </c>
      <c r="H262" s="36">
        <f t="shared" si="57"/>
        <v>25054</v>
      </c>
      <c r="I262" s="7">
        <f t="shared" si="62"/>
        <v>0</v>
      </c>
      <c r="J262" s="36">
        <f t="shared" si="55"/>
        <v>25054</v>
      </c>
      <c r="K262" s="7">
        <f t="shared" si="62"/>
        <v>-21.2</v>
      </c>
      <c r="L262" s="36">
        <f t="shared" si="52"/>
        <v>25032.8</v>
      </c>
      <c r="M262" s="7">
        <f t="shared" si="62"/>
        <v>0</v>
      </c>
      <c r="N262" s="36">
        <f t="shared" si="53"/>
        <v>25032.8</v>
      </c>
      <c r="O262" s="7">
        <f t="shared" si="62"/>
        <v>0</v>
      </c>
      <c r="P262" s="36">
        <f t="shared" si="49"/>
        <v>25032.8</v>
      </c>
      <c r="Q262" s="7">
        <f t="shared" si="62"/>
        <v>0</v>
      </c>
      <c r="R262" s="36">
        <f t="shared" si="50"/>
        <v>25032.8</v>
      </c>
    </row>
    <row r="263" spans="1:18" ht="12.75">
      <c r="A263" s="62" t="str">
        <f ca="1">IF(ISERROR(MATCH(C263,Код_Раздел,0)),"",INDIRECT(ADDRESS(MATCH(C263,Код_Раздел,0)+1,2,,,"Раздел")))</f>
        <v>Культура, кинематография</v>
      </c>
      <c r="B263" s="44" t="s">
        <v>484</v>
      </c>
      <c r="C263" s="8" t="s">
        <v>230</v>
      </c>
      <c r="D263" s="1"/>
      <c r="E263" s="115"/>
      <c r="F263" s="7">
        <f t="shared" si="62"/>
        <v>25054</v>
      </c>
      <c r="G263" s="7">
        <f t="shared" si="62"/>
        <v>0</v>
      </c>
      <c r="H263" s="36">
        <f t="shared" si="57"/>
        <v>25054</v>
      </c>
      <c r="I263" s="7">
        <f t="shared" si="62"/>
        <v>0</v>
      </c>
      <c r="J263" s="36">
        <f t="shared" si="55"/>
        <v>25054</v>
      </c>
      <c r="K263" s="7">
        <f t="shared" si="62"/>
        <v>-21.2</v>
      </c>
      <c r="L263" s="36">
        <f t="shared" si="52"/>
        <v>25032.8</v>
      </c>
      <c r="M263" s="7">
        <f t="shared" si="62"/>
        <v>0</v>
      </c>
      <c r="N263" s="36">
        <f t="shared" si="53"/>
        <v>25032.8</v>
      </c>
      <c r="O263" s="7">
        <f t="shared" si="62"/>
        <v>0</v>
      </c>
      <c r="P263" s="36">
        <f t="shared" si="49"/>
        <v>25032.8</v>
      </c>
      <c r="Q263" s="7">
        <f t="shared" si="62"/>
        <v>0</v>
      </c>
      <c r="R263" s="36">
        <f t="shared" si="50"/>
        <v>25032.8</v>
      </c>
    </row>
    <row r="264" spans="1:18" ht="18.75" customHeight="1">
      <c r="A264" s="12" t="s">
        <v>192</v>
      </c>
      <c r="B264" s="44" t="s">
        <v>484</v>
      </c>
      <c r="C264" s="8" t="s">
        <v>230</v>
      </c>
      <c r="D264" s="1" t="s">
        <v>221</v>
      </c>
      <c r="E264" s="115"/>
      <c r="F264" s="7">
        <f t="shared" si="62"/>
        <v>25054</v>
      </c>
      <c r="G264" s="7">
        <f t="shared" si="62"/>
        <v>0</v>
      </c>
      <c r="H264" s="36">
        <f t="shared" si="57"/>
        <v>25054</v>
      </c>
      <c r="I264" s="7">
        <f t="shared" si="62"/>
        <v>0</v>
      </c>
      <c r="J264" s="36">
        <f t="shared" si="55"/>
        <v>25054</v>
      </c>
      <c r="K264" s="7">
        <f t="shared" si="62"/>
        <v>-21.2</v>
      </c>
      <c r="L264" s="36">
        <f t="shared" si="52"/>
        <v>25032.8</v>
      </c>
      <c r="M264" s="7">
        <f t="shared" si="62"/>
        <v>0</v>
      </c>
      <c r="N264" s="36">
        <f t="shared" si="53"/>
        <v>25032.8</v>
      </c>
      <c r="O264" s="7">
        <f t="shared" si="62"/>
        <v>0</v>
      </c>
      <c r="P264" s="36">
        <f t="shared" si="49"/>
        <v>25032.8</v>
      </c>
      <c r="Q264" s="7">
        <f t="shared" si="62"/>
        <v>0</v>
      </c>
      <c r="R264" s="36">
        <f t="shared" si="50"/>
        <v>25032.8</v>
      </c>
    </row>
    <row r="265" spans="1:18" ht="37.5" customHeight="1">
      <c r="A265" s="62" t="str">
        <f ca="1">IF(ISERROR(MATCH(E265,Код_КВР,0)),"",INDIRECT(ADDRESS(MATCH(E265,Код_КВР,0)+1,2,,,"КВР")))</f>
        <v>Предоставление субсидий бюджетным, автономным учреждениям и иным некоммерческим организациям</v>
      </c>
      <c r="B265" s="44" t="s">
        <v>484</v>
      </c>
      <c r="C265" s="8" t="s">
        <v>230</v>
      </c>
      <c r="D265" s="1" t="s">
        <v>221</v>
      </c>
      <c r="E265" s="115">
        <v>600</v>
      </c>
      <c r="F265" s="7">
        <f t="shared" si="62"/>
        <v>25054</v>
      </c>
      <c r="G265" s="7">
        <f t="shared" si="62"/>
        <v>0</v>
      </c>
      <c r="H265" s="36">
        <f t="shared" si="57"/>
        <v>25054</v>
      </c>
      <c r="I265" s="7">
        <f t="shared" si="62"/>
        <v>0</v>
      </c>
      <c r="J265" s="36">
        <f t="shared" si="55"/>
        <v>25054</v>
      </c>
      <c r="K265" s="7">
        <f t="shared" si="62"/>
        <v>-21.2</v>
      </c>
      <c r="L265" s="36">
        <f t="shared" si="52"/>
        <v>25032.8</v>
      </c>
      <c r="M265" s="7">
        <f t="shared" si="62"/>
        <v>0</v>
      </c>
      <c r="N265" s="36">
        <f t="shared" si="53"/>
        <v>25032.8</v>
      </c>
      <c r="O265" s="7">
        <f t="shared" si="62"/>
        <v>0</v>
      </c>
      <c r="P265" s="36">
        <f t="shared" si="49"/>
        <v>25032.8</v>
      </c>
      <c r="Q265" s="7">
        <f t="shared" si="62"/>
        <v>0</v>
      </c>
      <c r="R265" s="36">
        <f t="shared" si="50"/>
        <v>25032.8</v>
      </c>
    </row>
    <row r="266" spans="1:18" ht="18.75" customHeight="1">
      <c r="A266" s="62" t="str">
        <f ca="1">IF(ISERROR(MATCH(E266,Код_КВР,0)),"",INDIRECT(ADDRESS(MATCH(E266,Код_КВР,0)+1,2,,,"КВР")))</f>
        <v>Субсидии бюджетным учреждениям</v>
      </c>
      <c r="B266" s="44" t="s">
        <v>484</v>
      </c>
      <c r="C266" s="8" t="s">
        <v>230</v>
      </c>
      <c r="D266" s="1" t="s">
        <v>221</v>
      </c>
      <c r="E266" s="115">
        <v>610</v>
      </c>
      <c r="F266" s="7">
        <f t="shared" si="62"/>
        <v>25054</v>
      </c>
      <c r="G266" s="7">
        <f t="shared" si="62"/>
        <v>0</v>
      </c>
      <c r="H266" s="36">
        <f t="shared" si="57"/>
        <v>25054</v>
      </c>
      <c r="I266" s="7">
        <f t="shared" si="62"/>
        <v>0</v>
      </c>
      <c r="J266" s="36">
        <f t="shared" si="55"/>
        <v>25054</v>
      </c>
      <c r="K266" s="7">
        <f t="shared" si="62"/>
        <v>-21.2</v>
      </c>
      <c r="L266" s="36">
        <f t="shared" si="52"/>
        <v>25032.8</v>
      </c>
      <c r="M266" s="7">
        <f t="shared" si="62"/>
        <v>0</v>
      </c>
      <c r="N266" s="36">
        <f t="shared" si="53"/>
        <v>25032.8</v>
      </c>
      <c r="O266" s="7">
        <f t="shared" si="62"/>
        <v>0</v>
      </c>
      <c r="P266" s="36">
        <f t="shared" si="49"/>
        <v>25032.8</v>
      </c>
      <c r="Q266" s="7">
        <f t="shared" si="62"/>
        <v>0</v>
      </c>
      <c r="R266" s="36">
        <f t="shared" si="50"/>
        <v>25032.8</v>
      </c>
    </row>
    <row r="267" spans="1:18" ht="53.25" customHeight="1">
      <c r="A267" s="62" t="str">
        <f ca="1">IF(ISERROR(MATCH(E267,Код_КВР,0)),"",INDIRECT(ADDRESS(MATCH(E267,Код_КВР,0)+1,2,,,"КВР")))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7" s="44" t="s">
        <v>484</v>
      </c>
      <c r="C267" s="8" t="s">
        <v>230</v>
      </c>
      <c r="D267" s="1" t="s">
        <v>221</v>
      </c>
      <c r="E267" s="115">
        <v>611</v>
      </c>
      <c r="F267" s="7">
        <f>'прил.5'!G965</f>
        <v>25054</v>
      </c>
      <c r="G267" s="7">
        <f>'прил.5'!H965</f>
        <v>0</v>
      </c>
      <c r="H267" s="36">
        <f t="shared" si="57"/>
        <v>25054</v>
      </c>
      <c r="I267" s="7">
        <f>'прил.5'!J965</f>
        <v>0</v>
      </c>
      <c r="J267" s="36">
        <f t="shared" si="55"/>
        <v>25054</v>
      </c>
      <c r="K267" s="7">
        <f>'прил.5'!L965</f>
        <v>-21.2</v>
      </c>
      <c r="L267" s="36">
        <f t="shared" si="52"/>
        <v>25032.8</v>
      </c>
      <c r="M267" s="7">
        <f>'прил.5'!N965</f>
        <v>0</v>
      </c>
      <c r="N267" s="36">
        <f t="shared" si="53"/>
        <v>25032.8</v>
      </c>
      <c r="O267" s="7">
        <f>'прил.5'!P965</f>
        <v>0</v>
      </c>
      <c r="P267" s="36">
        <f t="shared" si="49"/>
        <v>25032.8</v>
      </c>
      <c r="Q267" s="7">
        <f>'прил.5'!R965</f>
        <v>0</v>
      </c>
      <c r="R267" s="36">
        <f t="shared" si="50"/>
        <v>25032.8</v>
      </c>
    </row>
    <row r="268" spans="1:18" ht="27.4" customHeight="1">
      <c r="A268" s="62" t="str">
        <f ca="1">IF(ISERROR(MATCH(B268,Код_КЦСР,0)),"",INDIRECT(ADDRESS(MATCH(B268,Код_КЦСР,0)+1,2,,,"КЦСР")))</f>
        <v xml:space="preserve">Хранение, изучение и обеспечение сохранности музейных предметов </v>
      </c>
      <c r="B268" s="44" t="s">
        <v>486</v>
      </c>
      <c r="C268" s="8"/>
      <c r="D268" s="1"/>
      <c r="E268" s="115"/>
      <c r="F268" s="7">
        <f aca="true" t="shared" si="63" ref="F268:Q272">F269</f>
        <v>15501.3</v>
      </c>
      <c r="G268" s="7">
        <f t="shared" si="63"/>
        <v>0</v>
      </c>
      <c r="H268" s="36">
        <f t="shared" si="57"/>
        <v>15501.3</v>
      </c>
      <c r="I268" s="7">
        <f t="shared" si="63"/>
        <v>0</v>
      </c>
      <c r="J268" s="36">
        <f t="shared" si="55"/>
        <v>15501.3</v>
      </c>
      <c r="K268" s="7">
        <f t="shared" si="63"/>
        <v>-1.2</v>
      </c>
      <c r="L268" s="36">
        <f t="shared" si="52"/>
        <v>15500.099999999999</v>
      </c>
      <c r="M268" s="7">
        <f t="shared" si="63"/>
        <v>0</v>
      </c>
      <c r="N268" s="36">
        <f t="shared" si="53"/>
        <v>15500.099999999999</v>
      </c>
      <c r="O268" s="7">
        <f t="shared" si="63"/>
        <v>0</v>
      </c>
      <c r="P268" s="36">
        <f t="shared" si="49"/>
        <v>15500.099999999999</v>
      </c>
      <c r="Q268" s="7">
        <f t="shared" si="63"/>
        <v>0</v>
      </c>
      <c r="R268" s="36">
        <f t="shared" si="50"/>
        <v>15500.099999999999</v>
      </c>
    </row>
    <row r="269" spans="1:18" ht="20.25" customHeight="1">
      <c r="A269" s="62" t="str">
        <f ca="1">IF(ISERROR(MATCH(C269,Код_Раздел,0)),"",INDIRECT(ADDRESS(MATCH(C269,Код_Раздел,0)+1,2,,,"Раздел")))</f>
        <v>Культура, кинематография</v>
      </c>
      <c r="B269" s="44" t="s">
        <v>486</v>
      </c>
      <c r="C269" s="8" t="s">
        <v>230</v>
      </c>
      <c r="D269" s="1"/>
      <c r="E269" s="115"/>
      <c r="F269" s="7">
        <f t="shared" si="63"/>
        <v>15501.3</v>
      </c>
      <c r="G269" s="7">
        <f t="shared" si="63"/>
        <v>0</v>
      </c>
      <c r="H269" s="36">
        <f t="shared" si="57"/>
        <v>15501.3</v>
      </c>
      <c r="I269" s="7">
        <f t="shared" si="63"/>
        <v>0</v>
      </c>
      <c r="J269" s="36">
        <f t="shared" si="55"/>
        <v>15501.3</v>
      </c>
      <c r="K269" s="7">
        <f t="shared" si="63"/>
        <v>-1.2</v>
      </c>
      <c r="L269" s="36">
        <f t="shared" si="52"/>
        <v>15500.099999999999</v>
      </c>
      <c r="M269" s="7">
        <f t="shared" si="63"/>
        <v>0</v>
      </c>
      <c r="N269" s="36">
        <f t="shared" si="53"/>
        <v>15500.099999999999</v>
      </c>
      <c r="O269" s="7">
        <f t="shared" si="63"/>
        <v>0</v>
      </c>
      <c r="P269" s="36">
        <f t="shared" si="49"/>
        <v>15500.099999999999</v>
      </c>
      <c r="Q269" s="7">
        <f t="shared" si="63"/>
        <v>0</v>
      </c>
      <c r="R269" s="36">
        <f t="shared" si="50"/>
        <v>15500.099999999999</v>
      </c>
    </row>
    <row r="270" spans="1:18" ht="20.25" customHeight="1">
      <c r="A270" s="12" t="s">
        <v>192</v>
      </c>
      <c r="B270" s="44" t="s">
        <v>486</v>
      </c>
      <c r="C270" s="8" t="s">
        <v>230</v>
      </c>
      <c r="D270" s="1" t="s">
        <v>221</v>
      </c>
      <c r="E270" s="115"/>
      <c r="F270" s="7">
        <f t="shared" si="63"/>
        <v>15501.3</v>
      </c>
      <c r="G270" s="7">
        <f t="shared" si="63"/>
        <v>0</v>
      </c>
      <c r="H270" s="36">
        <f t="shared" si="57"/>
        <v>15501.3</v>
      </c>
      <c r="I270" s="7">
        <f t="shared" si="63"/>
        <v>0</v>
      </c>
      <c r="J270" s="36">
        <f t="shared" si="55"/>
        <v>15501.3</v>
      </c>
      <c r="K270" s="7">
        <f t="shared" si="63"/>
        <v>-1.2</v>
      </c>
      <c r="L270" s="36">
        <f t="shared" si="52"/>
        <v>15500.099999999999</v>
      </c>
      <c r="M270" s="7">
        <f t="shared" si="63"/>
        <v>0</v>
      </c>
      <c r="N270" s="36">
        <f t="shared" si="53"/>
        <v>15500.099999999999</v>
      </c>
      <c r="O270" s="7">
        <f t="shared" si="63"/>
        <v>0</v>
      </c>
      <c r="P270" s="36">
        <f t="shared" si="49"/>
        <v>15500.099999999999</v>
      </c>
      <c r="Q270" s="7">
        <f t="shared" si="63"/>
        <v>0</v>
      </c>
      <c r="R270" s="36">
        <f t="shared" si="50"/>
        <v>15500.099999999999</v>
      </c>
    </row>
    <row r="271" spans="1:18" ht="36" customHeight="1">
      <c r="A271" s="62" t="str">
        <f ca="1">IF(ISERROR(MATCH(E271,Код_КВР,0)),"",INDIRECT(ADDRESS(MATCH(E271,Код_КВР,0)+1,2,,,"КВР")))</f>
        <v>Предоставление субсидий бюджетным, автономным учреждениям и иным некоммерческим организациям</v>
      </c>
      <c r="B271" s="44" t="s">
        <v>486</v>
      </c>
      <c r="C271" s="8" t="s">
        <v>230</v>
      </c>
      <c r="D271" s="1" t="s">
        <v>221</v>
      </c>
      <c r="E271" s="115">
        <v>600</v>
      </c>
      <c r="F271" s="7">
        <f t="shared" si="63"/>
        <v>15501.3</v>
      </c>
      <c r="G271" s="7">
        <f t="shared" si="63"/>
        <v>0</v>
      </c>
      <c r="H271" s="36">
        <f t="shared" si="57"/>
        <v>15501.3</v>
      </c>
      <c r="I271" s="7">
        <f t="shared" si="63"/>
        <v>0</v>
      </c>
      <c r="J271" s="36">
        <f t="shared" si="55"/>
        <v>15501.3</v>
      </c>
      <c r="K271" s="7">
        <f t="shared" si="63"/>
        <v>-1.2</v>
      </c>
      <c r="L271" s="36">
        <f t="shared" si="52"/>
        <v>15500.099999999999</v>
      </c>
      <c r="M271" s="7">
        <f t="shared" si="63"/>
        <v>0</v>
      </c>
      <c r="N271" s="36">
        <f t="shared" si="53"/>
        <v>15500.099999999999</v>
      </c>
      <c r="O271" s="7">
        <f t="shared" si="63"/>
        <v>0</v>
      </c>
      <c r="P271" s="36">
        <f t="shared" si="49"/>
        <v>15500.099999999999</v>
      </c>
      <c r="Q271" s="7">
        <f t="shared" si="63"/>
        <v>0</v>
      </c>
      <c r="R271" s="36">
        <f t="shared" si="50"/>
        <v>15500.099999999999</v>
      </c>
    </row>
    <row r="272" spans="1:18" ht="18.75" customHeight="1">
      <c r="A272" s="62" t="str">
        <f ca="1">IF(ISERROR(MATCH(E272,Код_КВР,0)),"",INDIRECT(ADDRESS(MATCH(E272,Код_КВР,0)+1,2,,,"КВР")))</f>
        <v>Субсидии бюджетным учреждениям</v>
      </c>
      <c r="B272" s="44" t="s">
        <v>486</v>
      </c>
      <c r="C272" s="8" t="s">
        <v>230</v>
      </c>
      <c r="D272" s="1" t="s">
        <v>221</v>
      </c>
      <c r="E272" s="115">
        <v>610</v>
      </c>
      <c r="F272" s="7">
        <f t="shared" si="63"/>
        <v>15501.3</v>
      </c>
      <c r="G272" s="7">
        <f t="shared" si="63"/>
        <v>0</v>
      </c>
      <c r="H272" s="36">
        <f t="shared" si="57"/>
        <v>15501.3</v>
      </c>
      <c r="I272" s="7">
        <f t="shared" si="63"/>
        <v>0</v>
      </c>
      <c r="J272" s="36">
        <f t="shared" si="55"/>
        <v>15501.3</v>
      </c>
      <c r="K272" s="7">
        <f t="shared" si="63"/>
        <v>-1.2</v>
      </c>
      <c r="L272" s="36">
        <f t="shared" si="52"/>
        <v>15500.099999999999</v>
      </c>
      <c r="M272" s="7">
        <f t="shared" si="63"/>
        <v>0</v>
      </c>
      <c r="N272" s="36">
        <f t="shared" si="53"/>
        <v>15500.099999999999</v>
      </c>
      <c r="O272" s="7">
        <f t="shared" si="63"/>
        <v>0</v>
      </c>
      <c r="P272" s="36">
        <f t="shared" si="49"/>
        <v>15500.099999999999</v>
      </c>
      <c r="Q272" s="7">
        <f t="shared" si="63"/>
        <v>0</v>
      </c>
      <c r="R272" s="36">
        <f t="shared" si="50"/>
        <v>15500.099999999999</v>
      </c>
    </row>
    <row r="273" spans="1:18" ht="53.25" customHeight="1">
      <c r="A273" s="62" t="str">
        <f ca="1">IF(ISERROR(MATCH(E273,Код_КВР,0)),"",INDIRECT(ADDRESS(MATCH(E273,Код_КВР,0)+1,2,,,"КВР")))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3" s="44" t="s">
        <v>486</v>
      </c>
      <c r="C273" s="8" t="s">
        <v>230</v>
      </c>
      <c r="D273" s="1" t="s">
        <v>221</v>
      </c>
      <c r="E273" s="115">
        <v>611</v>
      </c>
      <c r="F273" s="7">
        <f>'прил.5'!G969</f>
        <v>15501.3</v>
      </c>
      <c r="G273" s="7">
        <f>'прил.5'!H969</f>
        <v>0</v>
      </c>
      <c r="H273" s="36">
        <f t="shared" si="57"/>
        <v>15501.3</v>
      </c>
      <c r="I273" s="7">
        <f>'прил.5'!J969</f>
        <v>0</v>
      </c>
      <c r="J273" s="36">
        <f t="shared" si="55"/>
        <v>15501.3</v>
      </c>
      <c r="K273" s="7">
        <f>'прил.5'!L969</f>
        <v>-1.2</v>
      </c>
      <c r="L273" s="36">
        <f t="shared" si="52"/>
        <v>15500.099999999999</v>
      </c>
      <c r="M273" s="7">
        <f>'прил.5'!N969</f>
        <v>0</v>
      </c>
      <c r="N273" s="36">
        <f t="shared" si="53"/>
        <v>15500.099999999999</v>
      </c>
      <c r="O273" s="7">
        <f>'прил.5'!P969</f>
        <v>0</v>
      </c>
      <c r="P273" s="36">
        <f t="shared" si="49"/>
        <v>15500.099999999999</v>
      </c>
      <c r="Q273" s="7">
        <f>'прил.5'!R969</f>
        <v>0</v>
      </c>
      <c r="R273" s="36">
        <f t="shared" si="50"/>
        <v>15500.099999999999</v>
      </c>
    </row>
    <row r="274" spans="1:18" ht="20.25" customHeight="1">
      <c r="A274" s="62" t="str">
        <f ca="1">IF(ISERROR(MATCH(B274,Код_КЦСР,0)),"",INDIRECT(ADDRESS(MATCH(B274,Код_КЦСР,0)+1,2,,,"КЦСР")))</f>
        <v>Формирование и учет музейного фонда</v>
      </c>
      <c r="B274" s="44" t="s">
        <v>488</v>
      </c>
      <c r="C274" s="8"/>
      <c r="D274" s="1"/>
      <c r="E274" s="115"/>
      <c r="F274" s="7">
        <f aca="true" t="shared" si="64" ref="F274:Q278">F275</f>
        <v>3771.9</v>
      </c>
      <c r="G274" s="7">
        <f t="shared" si="64"/>
        <v>0</v>
      </c>
      <c r="H274" s="36">
        <f t="shared" si="57"/>
        <v>3771.9</v>
      </c>
      <c r="I274" s="7">
        <f t="shared" si="64"/>
        <v>0</v>
      </c>
      <c r="J274" s="36">
        <f t="shared" si="55"/>
        <v>3771.9</v>
      </c>
      <c r="K274" s="7">
        <f t="shared" si="64"/>
        <v>-4</v>
      </c>
      <c r="L274" s="36">
        <f t="shared" si="52"/>
        <v>3767.9</v>
      </c>
      <c r="M274" s="7">
        <f t="shared" si="64"/>
        <v>0</v>
      </c>
      <c r="N274" s="36">
        <f t="shared" si="53"/>
        <v>3767.9</v>
      </c>
      <c r="O274" s="7">
        <f t="shared" si="64"/>
        <v>0</v>
      </c>
      <c r="P274" s="36">
        <f t="shared" si="49"/>
        <v>3767.9</v>
      </c>
      <c r="Q274" s="7">
        <f t="shared" si="64"/>
        <v>0</v>
      </c>
      <c r="R274" s="36">
        <f t="shared" si="50"/>
        <v>3767.9</v>
      </c>
    </row>
    <row r="275" spans="1:18" ht="19.5" customHeight="1">
      <c r="A275" s="62" t="str">
        <f ca="1">IF(ISERROR(MATCH(C275,Код_Раздел,0)),"",INDIRECT(ADDRESS(MATCH(C275,Код_Раздел,0)+1,2,,,"Раздел")))</f>
        <v>Культура, кинематография</v>
      </c>
      <c r="B275" s="44" t="s">
        <v>488</v>
      </c>
      <c r="C275" s="8" t="s">
        <v>230</v>
      </c>
      <c r="D275" s="1"/>
      <c r="E275" s="115"/>
      <c r="F275" s="7">
        <f t="shared" si="64"/>
        <v>3771.9</v>
      </c>
      <c r="G275" s="7">
        <f t="shared" si="64"/>
        <v>0</v>
      </c>
      <c r="H275" s="36">
        <f t="shared" si="57"/>
        <v>3771.9</v>
      </c>
      <c r="I275" s="7">
        <f t="shared" si="64"/>
        <v>0</v>
      </c>
      <c r="J275" s="36">
        <f t="shared" si="55"/>
        <v>3771.9</v>
      </c>
      <c r="K275" s="7">
        <f t="shared" si="64"/>
        <v>-4</v>
      </c>
      <c r="L275" s="36">
        <f t="shared" si="52"/>
        <v>3767.9</v>
      </c>
      <c r="M275" s="7">
        <f t="shared" si="64"/>
        <v>0</v>
      </c>
      <c r="N275" s="36">
        <f t="shared" si="53"/>
        <v>3767.9</v>
      </c>
      <c r="O275" s="7">
        <f t="shared" si="64"/>
        <v>0</v>
      </c>
      <c r="P275" s="36">
        <f t="shared" si="49"/>
        <v>3767.9</v>
      </c>
      <c r="Q275" s="7">
        <f t="shared" si="64"/>
        <v>0</v>
      </c>
      <c r="R275" s="36">
        <f t="shared" si="50"/>
        <v>3767.9</v>
      </c>
    </row>
    <row r="276" spans="1:18" ht="23.25" customHeight="1">
      <c r="A276" s="12" t="s">
        <v>192</v>
      </c>
      <c r="B276" s="44" t="s">
        <v>488</v>
      </c>
      <c r="C276" s="8" t="s">
        <v>230</v>
      </c>
      <c r="D276" s="1" t="s">
        <v>221</v>
      </c>
      <c r="E276" s="115"/>
      <c r="F276" s="7">
        <f t="shared" si="64"/>
        <v>3771.9</v>
      </c>
      <c r="G276" s="7">
        <f t="shared" si="64"/>
        <v>0</v>
      </c>
      <c r="H276" s="36">
        <f t="shared" si="57"/>
        <v>3771.9</v>
      </c>
      <c r="I276" s="7">
        <f t="shared" si="64"/>
        <v>0</v>
      </c>
      <c r="J276" s="36">
        <f t="shared" si="55"/>
        <v>3771.9</v>
      </c>
      <c r="K276" s="7">
        <f t="shared" si="64"/>
        <v>-4</v>
      </c>
      <c r="L276" s="36">
        <f t="shared" si="52"/>
        <v>3767.9</v>
      </c>
      <c r="M276" s="7">
        <f t="shared" si="64"/>
        <v>0</v>
      </c>
      <c r="N276" s="36">
        <f t="shared" si="53"/>
        <v>3767.9</v>
      </c>
      <c r="O276" s="7">
        <f t="shared" si="64"/>
        <v>0</v>
      </c>
      <c r="P276" s="36">
        <f t="shared" si="49"/>
        <v>3767.9</v>
      </c>
      <c r="Q276" s="7">
        <f t="shared" si="64"/>
        <v>0</v>
      </c>
      <c r="R276" s="36">
        <f t="shared" si="50"/>
        <v>3767.9</v>
      </c>
    </row>
    <row r="277" spans="1:18" ht="35.25" customHeight="1">
      <c r="A277" s="62" t="str">
        <f ca="1">IF(ISERROR(MATCH(E277,Код_КВР,0)),"",INDIRECT(ADDRESS(MATCH(E277,Код_КВР,0)+1,2,,,"КВР")))</f>
        <v>Предоставление субсидий бюджетным, автономным учреждениям и иным некоммерческим организациям</v>
      </c>
      <c r="B277" s="44" t="s">
        <v>488</v>
      </c>
      <c r="C277" s="8" t="s">
        <v>230</v>
      </c>
      <c r="D277" s="1" t="s">
        <v>221</v>
      </c>
      <c r="E277" s="115">
        <v>600</v>
      </c>
      <c r="F277" s="7">
        <f t="shared" si="64"/>
        <v>3771.9</v>
      </c>
      <c r="G277" s="7">
        <f t="shared" si="64"/>
        <v>0</v>
      </c>
      <c r="H277" s="36">
        <f t="shared" si="57"/>
        <v>3771.9</v>
      </c>
      <c r="I277" s="7">
        <f t="shared" si="64"/>
        <v>0</v>
      </c>
      <c r="J277" s="36">
        <f t="shared" si="55"/>
        <v>3771.9</v>
      </c>
      <c r="K277" s="7">
        <f t="shared" si="64"/>
        <v>-4</v>
      </c>
      <c r="L277" s="36">
        <f t="shared" si="52"/>
        <v>3767.9</v>
      </c>
      <c r="M277" s="7">
        <f t="shared" si="64"/>
        <v>0</v>
      </c>
      <c r="N277" s="36">
        <f t="shared" si="53"/>
        <v>3767.9</v>
      </c>
      <c r="O277" s="7">
        <f t="shared" si="64"/>
        <v>0</v>
      </c>
      <c r="P277" s="36">
        <f t="shared" si="49"/>
        <v>3767.9</v>
      </c>
      <c r="Q277" s="7">
        <f t="shared" si="64"/>
        <v>0</v>
      </c>
      <c r="R277" s="36">
        <f t="shared" si="50"/>
        <v>3767.9</v>
      </c>
    </row>
    <row r="278" spans="1:18" ht="23.25" customHeight="1">
      <c r="A278" s="62" t="str">
        <f ca="1">IF(ISERROR(MATCH(E278,Код_КВР,0)),"",INDIRECT(ADDRESS(MATCH(E278,Код_КВР,0)+1,2,,,"КВР")))</f>
        <v>Субсидии бюджетным учреждениям</v>
      </c>
      <c r="B278" s="44" t="s">
        <v>488</v>
      </c>
      <c r="C278" s="8" t="s">
        <v>230</v>
      </c>
      <c r="D278" s="1" t="s">
        <v>221</v>
      </c>
      <c r="E278" s="115">
        <v>610</v>
      </c>
      <c r="F278" s="7">
        <f t="shared" si="64"/>
        <v>3771.9</v>
      </c>
      <c r="G278" s="7">
        <f t="shared" si="64"/>
        <v>0</v>
      </c>
      <c r="H278" s="36">
        <f t="shared" si="57"/>
        <v>3771.9</v>
      </c>
      <c r="I278" s="7">
        <f t="shared" si="64"/>
        <v>0</v>
      </c>
      <c r="J278" s="36">
        <f t="shared" si="55"/>
        <v>3771.9</v>
      </c>
      <c r="K278" s="7">
        <f t="shared" si="64"/>
        <v>-4</v>
      </c>
      <c r="L278" s="36">
        <f t="shared" si="52"/>
        <v>3767.9</v>
      </c>
      <c r="M278" s="7">
        <f t="shared" si="64"/>
        <v>0</v>
      </c>
      <c r="N278" s="36">
        <f t="shared" si="53"/>
        <v>3767.9</v>
      </c>
      <c r="O278" s="7">
        <f t="shared" si="64"/>
        <v>0</v>
      </c>
      <c r="P278" s="36">
        <f t="shared" si="49"/>
        <v>3767.9</v>
      </c>
      <c r="Q278" s="7">
        <f t="shared" si="64"/>
        <v>0</v>
      </c>
      <c r="R278" s="36">
        <f t="shared" si="50"/>
        <v>3767.9</v>
      </c>
    </row>
    <row r="279" spans="1:18" ht="52.7" customHeight="1">
      <c r="A279" s="62" t="str">
        <f ca="1">IF(ISERROR(MATCH(E279,Код_КВР,0)),"",INDIRECT(ADDRESS(MATCH(E279,Код_КВР,0)+1,2,,,"КВР")))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9" s="44" t="s">
        <v>488</v>
      </c>
      <c r="C279" s="8" t="s">
        <v>230</v>
      </c>
      <c r="D279" s="1" t="s">
        <v>221</v>
      </c>
      <c r="E279" s="115">
        <v>611</v>
      </c>
      <c r="F279" s="7">
        <f>'прил.5'!G973</f>
        <v>3771.9</v>
      </c>
      <c r="G279" s="7">
        <f>'прил.5'!H973</f>
        <v>0</v>
      </c>
      <c r="H279" s="36">
        <f t="shared" si="57"/>
        <v>3771.9</v>
      </c>
      <c r="I279" s="7">
        <f>'прил.5'!J973</f>
        <v>0</v>
      </c>
      <c r="J279" s="36">
        <f t="shared" si="55"/>
        <v>3771.9</v>
      </c>
      <c r="K279" s="7">
        <f>'прил.5'!L973</f>
        <v>-4</v>
      </c>
      <c r="L279" s="36">
        <f t="shared" si="52"/>
        <v>3767.9</v>
      </c>
      <c r="M279" s="7">
        <f>'прил.5'!N973</f>
        <v>0</v>
      </c>
      <c r="N279" s="36">
        <f t="shared" si="53"/>
        <v>3767.9</v>
      </c>
      <c r="O279" s="7">
        <f>'прил.5'!P973</f>
        <v>0</v>
      </c>
      <c r="P279" s="36">
        <f t="shared" si="49"/>
        <v>3767.9</v>
      </c>
      <c r="Q279" s="7">
        <f>'прил.5'!R973</f>
        <v>0</v>
      </c>
      <c r="R279" s="36">
        <f t="shared" si="50"/>
        <v>3767.9</v>
      </c>
    </row>
    <row r="280" spans="1:18" ht="12.75">
      <c r="A280" s="62" t="str">
        <f ca="1">IF(ISERROR(MATCH(B280,Код_КЦСР,0)),"",INDIRECT(ADDRESS(MATCH(B280,Код_КЦСР,0)+1,2,,,"КЦСР")))</f>
        <v>Развитие библиотечного дела</v>
      </c>
      <c r="B280" s="44" t="s">
        <v>490</v>
      </c>
      <c r="C280" s="8"/>
      <c r="D280" s="1"/>
      <c r="E280" s="115"/>
      <c r="F280" s="7">
        <f>F281+F287+F293+F299+F305+F311</f>
        <v>41488.7</v>
      </c>
      <c r="G280" s="7">
        <f>G281+G287+G293+G299+G305+G311</f>
        <v>0</v>
      </c>
      <c r="H280" s="36">
        <f t="shared" si="57"/>
        <v>41488.7</v>
      </c>
      <c r="I280" s="7">
        <f>I281+I287+I293+I299+I305+I311</f>
        <v>0</v>
      </c>
      <c r="J280" s="36">
        <f t="shared" si="55"/>
        <v>41488.7</v>
      </c>
      <c r="K280" s="7">
        <f>K281+K287+K293+K299+K305+K311</f>
        <v>-23.099999999999998</v>
      </c>
      <c r="L280" s="36">
        <f t="shared" si="52"/>
        <v>41465.6</v>
      </c>
      <c r="M280" s="7">
        <f>M281+M287+M293+M299+M305+M311</f>
        <v>0</v>
      </c>
      <c r="N280" s="36">
        <f t="shared" si="53"/>
        <v>41465.6</v>
      </c>
      <c r="O280" s="7">
        <f>O281+O287+O293+O299+O305+O311</f>
        <v>0</v>
      </c>
      <c r="P280" s="36">
        <f t="shared" si="49"/>
        <v>41465.6</v>
      </c>
      <c r="Q280" s="7">
        <f>Q281+Q287+Q293+Q299+Q305+Q311</f>
        <v>0</v>
      </c>
      <c r="R280" s="36">
        <f t="shared" si="50"/>
        <v>41465.6</v>
      </c>
    </row>
    <row r="281" spans="1:18" ht="54" customHeight="1">
      <c r="A281" s="62" t="str">
        <f ca="1">IF(ISERROR(MATCH(B281,Код_КЦСР,0)),"",INDIRECT(ADDRESS(MATCH(B281,Код_КЦСР,0)+1,2,,,"КЦСР")))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81" s="44" t="s">
        <v>491</v>
      </c>
      <c r="C281" s="8"/>
      <c r="D281" s="1"/>
      <c r="E281" s="115"/>
      <c r="F281" s="7">
        <f aca="true" t="shared" si="65" ref="F281:Q285">F282</f>
        <v>1300</v>
      </c>
      <c r="G281" s="7">
        <f t="shared" si="65"/>
        <v>0</v>
      </c>
      <c r="H281" s="36">
        <f t="shared" si="57"/>
        <v>1300</v>
      </c>
      <c r="I281" s="7">
        <f t="shared" si="65"/>
        <v>0</v>
      </c>
      <c r="J281" s="36">
        <f t="shared" si="55"/>
        <v>1300</v>
      </c>
      <c r="K281" s="7">
        <f t="shared" si="65"/>
        <v>0</v>
      </c>
      <c r="L281" s="36">
        <f t="shared" si="52"/>
        <v>1300</v>
      </c>
      <c r="M281" s="7">
        <f t="shared" si="65"/>
        <v>0</v>
      </c>
      <c r="N281" s="36">
        <f t="shared" si="53"/>
        <v>1300</v>
      </c>
      <c r="O281" s="7">
        <f t="shared" si="65"/>
        <v>0</v>
      </c>
      <c r="P281" s="36">
        <f t="shared" si="49"/>
        <v>1300</v>
      </c>
      <c r="Q281" s="7">
        <f t="shared" si="65"/>
        <v>0</v>
      </c>
      <c r="R281" s="36">
        <f t="shared" si="50"/>
        <v>1300</v>
      </c>
    </row>
    <row r="282" spans="1:18" ht="21" customHeight="1">
      <c r="A282" s="62" t="str">
        <f ca="1">IF(ISERROR(MATCH(C282,Код_Раздел,0)),"",INDIRECT(ADDRESS(MATCH(C282,Код_Раздел,0)+1,2,,,"Раздел")))</f>
        <v>Культура, кинематография</v>
      </c>
      <c r="B282" s="44" t="s">
        <v>491</v>
      </c>
      <c r="C282" s="8" t="s">
        <v>230</v>
      </c>
      <c r="D282" s="1"/>
      <c r="E282" s="115"/>
      <c r="F282" s="7">
        <f t="shared" si="65"/>
        <v>1300</v>
      </c>
      <c r="G282" s="7">
        <f t="shared" si="65"/>
        <v>0</v>
      </c>
      <c r="H282" s="36">
        <f t="shared" si="57"/>
        <v>1300</v>
      </c>
      <c r="I282" s="7">
        <f t="shared" si="65"/>
        <v>0</v>
      </c>
      <c r="J282" s="36">
        <f t="shared" si="55"/>
        <v>1300</v>
      </c>
      <c r="K282" s="7">
        <f t="shared" si="65"/>
        <v>0</v>
      </c>
      <c r="L282" s="36">
        <f t="shared" si="52"/>
        <v>1300</v>
      </c>
      <c r="M282" s="7">
        <f t="shared" si="65"/>
        <v>0</v>
      </c>
      <c r="N282" s="36">
        <f t="shared" si="53"/>
        <v>1300</v>
      </c>
      <c r="O282" s="7">
        <f t="shared" si="65"/>
        <v>0</v>
      </c>
      <c r="P282" s="36">
        <f t="shared" si="49"/>
        <v>1300</v>
      </c>
      <c r="Q282" s="7">
        <f t="shared" si="65"/>
        <v>0</v>
      </c>
      <c r="R282" s="36">
        <f t="shared" si="50"/>
        <v>1300</v>
      </c>
    </row>
    <row r="283" spans="1:18" ht="21" customHeight="1">
      <c r="A283" s="12" t="s">
        <v>171</v>
      </c>
      <c r="B283" s="44" t="s">
        <v>491</v>
      </c>
      <c r="C283" s="8" t="s">
        <v>230</v>
      </c>
      <c r="D283" s="1" t="s">
        <v>224</v>
      </c>
      <c r="E283" s="115"/>
      <c r="F283" s="7">
        <f t="shared" si="65"/>
        <v>1300</v>
      </c>
      <c r="G283" s="7">
        <f t="shared" si="65"/>
        <v>0</v>
      </c>
      <c r="H283" s="36">
        <f t="shared" si="57"/>
        <v>1300</v>
      </c>
      <c r="I283" s="7">
        <f t="shared" si="65"/>
        <v>0</v>
      </c>
      <c r="J283" s="36">
        <f t="shared" si="55"/>
        <v>1300</v>
      </c>
      <c r="K283" s="7">
        <f t="shared" si="65"/>
        <v>0</v>
      </c>
      <c r="L283" s="36">
        <f t="shared" si="52"/>
        <v>1300</v>
      </c>
      <c r="M283" s="7">
        <f t="shared" si="65"/>
        <v>0</v>
      </c>
      <c r="N283" s="36">
        <f t="shared" si="53"/>
        <v>1300</v>
      </c>
      <c r="O283" s="7">
        <f t="shared" si="65"/>
        <v>0</v>
      </c>
      <c r="P283" s="36">
        <f aca="true" t="shared" si="66" ref="P283:P346">N283+O283</f>
        <v>1300</v>
      </c>
      <c r="Q283" s="7">
        <f t="shared" si="65"/>
        <v>0</v>
      </c>
      <c r="R283" s="36">
        <f aca="true" t="shared" si="67" ref="R283:R346">P283+Q283</f>
        <v>1300</v>
      </c>
    </row>
    <row r="284" spans="1:18" ht="39" customHeight="1">
      <c r="A284" s="62" t="str">
        <f ca="1">IF(ISERROR(MATCH(E284,Код_КВР,0)),"",INDIRECT(ADDRESS(MATCH(E284,Код_КВР,0)+1,2,,,"КВР")))</f>
        <v>Предоставление субсидий бюджетным, автономным учреждениям и иным некоммерческим организациям</v>
      </c>
      <c r="B284" s="44" t="s">
        <v>491</v>
      </c>
      <c r="C284" s="8" t="s">
        <v>230</v>
      </c>
      <c r="D284" s="1" t="s">
        <v>224</v>
      </c>
      <c r="E284" s="115">
        <v>600</v>
      </c>
      <c r="F284" s="7">
        <f t="shared" si="65"/>
        <v>1300</v>
      </c>
      <c r="G284" s="7">
        <f t="shared" si="65"/>
        <v>0</v>
      </c>
      <c r="H284" s="36">
        <f t="shared" si="57"/>
        <v>1300</v>
      </c>
      <c r="I284" s="7">
        <f t="shared" si="65"/>
        <v>0</v>
      </c>
      <c r="J284" s="36">
        <f t="shared" si="55"/>
        <v>1300</v>
      </c>
      <c r="K284" s="7">
        <f t="shared" si="65"/>
        <v>0</v>
      </c>
      <c r="L284" s="36">
        <f t="shared" si="52"/>
        <v>1300</v>
      </c>
      <c r="M284" s="7">
        <f t="shared" si="65"/>
        <v>0</v>
      </c>
      <c r="N284" s="36">
        <f t="shared" si="53"/>
        <v>1300</v>
      </c>
      <c r="O284" s="7">
        <f t="shared" si="65"/>
        <v>0</v>
      </c>
      <c r="P284" s="36">
        <f t="shared" si="66"/>
        <v>1300</v>
      </c>
      <c r="Q284" s="7">
        <f t="shared" si="65"/>
        <v>0</v>
      </c>
      <c r="R284" s="36">
        <f t="shared" si="67"/>
        <v>1300</v>
      </c>
    </row>
    <row r="285" spans="1:18" ht="19.5" customHeight="1">
      <c r="A285" s="62" t="str">
        <f ca="1">IF(ISERROR(MATCH(E285,Код_КВР,0)),"",INDIRECT(ADDRESS(MATCH(E285,Код_КВР,0)+1,2,,,"КВР")))</f>
        <v>Субсидии бюджетным учреждениям</v>
      </c>
      <c r="B285" s="44" t="s">
        <v>491</v>
      </c>
      <c r="C285" s="8" t="s">
        <v>230</v>
      </c>
      <c r="D285" s="1" t="s">
        <v>224</v>
      </c>
      <c r="E285" s="115">
        <v>610</v>
      </c>
      <c r="F285" s="7">
        <f t="shared" si="65"/>
        <v>1300</v>
      </c>
      <c r="G285" s="7">
        <f t="shared" si="65"/>
        <v>0</v>
      </c>
      <c r="H285" s="36">
        <f t="shared" si="57"/>
        <v>1300</v>
      </c>
      <c r="I285" s="7">
        <f t="shared" si="65"/>
        <v>0</v>
      </c>
      <c r="J285" s="36">
        <f t="shared" si="55"/>
        <v>1300</v>
      </c>
      <c r="K285" s="7">
        <f t="shared" si="65"/>
        <v>0</v>
      </c>
      <c r="L285" s="36">
        <f t="shared" si="52"/>
        <v>1300</v>
      </c>
      <c r="M285" s="7">
        <f t="shared" si="65"/>
        <v>0</v>
      </c>
      <c r="N285" s="36">
        <f t="shared" si="53"/>
        <v>1300</v>
      </c>
      <c r="O285" s="7">
        <f t="shared" si="65"/>
        <v>0</v>
      </c>
      <c r="P285" s="36">
        <f t="shared" si="66"/>
        <v>1300</v>
      </c>
      <c r="Q285" s="7">
        <f t="shared" si="65"/>
        <v>0</v>
      </c>
      <c r="R285" s="36">
        <f t="shared" si="67"/>
        <v>1300</v>
      </c>
    </row>
    <row r="286" spans="1:18" ht="21" customHeight="1">
      <c r="A286" s="62" t="str">
        <f ca="1">IF(ISERROR(MATCH(E286,Код_КВР,0)),"",INDIRECT(ADDRESS(MATCH(E286,Код_КВР,0)+1,2,,,"КВР")))</f>
        <v>Субсидии бюджетным учреждениям на иные цели</v>
      </c>
      <c r="B286" s="44" t="s">
        <v>491</v>
      </c>
      <c r="C286" s="8" t="s">
        <v>230</v>
      </c>
      <c r="D286" s="1" t="s">
        <v>224</v>
      </c>
      <c r="E286" s="115">
        <v>612</v>
      </c>
      <c r="F286" s="7">
        <f>'прил.5'!G1043</f>
        <v>1300</v>
      </c>
      <c r="G286" s="7">
        <f>'прил.5'!H1043</f>
        <v>0</v>
      </c>
      <c r="H286" s="36">
        <f t="shared" si="57"/>
        <v>1300</v>
      </c>
      <c r="I286" s="7">
        <f>'прил.5'!J1043</f>
        <v>0</v>
      </c>
      <c r="J286" s="36">
        <f t="shared" si="55"/>
        <v>1300</v>
      </c>
      <c r="K286" s="7">
        <f>'прил.5'!L1043</f>
        <v>0</v>
      </c>
      <c r="L286" s="36">
        <f t="shared" si="52"/>
        <v>1300</v>
      </c>
      <c r="M286" s="7">
        <f>'прил.5'!N1043</f>
        <v>0</v>
      </c>
      <c r="N286" s="36">
        <f t="shared" si="53"/>
        <v>1300</v>
      </c>
      <c r="O286" s="7">
        <f>'прил.5'!P1043</f>
        <v>0</v>
      </c>
      <c r="P286" s="36">
        <f t="shared" si="66"/>
        <v>1300</v>
      </c>
      <c r="Q286" s="7">
        <f>'прил.5'!R1043</f>
        <v>0</v>
      </c>
      <c r="R286" s="36">
        <f t="shared" si="67"/>
        <v>1300</v>
      </c>
    </row>
    <row r="287" spans="1:18" ht="69" customHeight="1">
      <c r="A287" s="62" t="str">
        <f ca="1">IF(ISERROR(MATCH(B287,Код_КЦСР,0)),"",INDIRECT(ADDRESS(MATCH(B287,Код_КЦСР,0)+1,2,,,"КЦСР")))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87" s="44" t="s">
        <v>492</v>
      </c>
      <c r="C287" s="8"/>
      <c r="D287" s="1"/>
      <c r="E287" s="115"/>
      <c r="F287" s="7">
        <f aca="true" t="shared" si="68" ref="F287:Q291">F288</f>
        <v>2143</v>
      </c>
      <c r="G287" s="7">
        <f t="shared" si="68"/>
        <v>0</v>
      </c>
      <c r="H287" s="36">
        <f t="shared" si="57"/>
        <v>2143</v>
      </c>
      <c r="I287" s="7">
        <f t="shared" si="68"/>
        <v>0</v>
      </c>
      <c r="J287" s="36">
        <f t="shared" si="55"/>
        <v>2143</v>
      </c>
      <c r="K287" s="7">
        <f t="shared" si="68"/>
        <v>0</v>
      </c>
      <c r="L287" s="36">
        <f t="shared" si="52"/>
        <v>2143</v>
      </c>
      <c r="M287" s="7">
        <f t="shared" si="68"/>
        <v>0</v>
      </c>
      <c r="N287" s="36">
        <f t="shared" si="53"/>
        <v>2143</v>
      </c>
      <c r="O287" s="7">
        <f t="shared" si="68"/>
        <v>0</v>
      </c>
      <c r="P287" s="36">
        <f t="shared" si="66"/>
        <v>2143</v>
      </c>
      <c r="Q287" s="7">
        <f t="shared" si="68"/>
        <v>0</v>
      </c>
      <c r="R287" s="36">
        <f t="shared" si="67"/>
        <v>2143</v>
      </c>
    </row>
    <row r="288" spans="1:18" ht="20.25" customHeight="1">
      <c r="A288" s="62" t="str">
        <f ca="1">IF(ISERROR(MATCH(C288,Код_Раздел,0)),"",INDIRECT(ADDRESS(MATCH(C288,Код_Раздел,0)+1,2,,,"Раздел")))</f>
        <v>Культура, кинематография</v>
      </c>
      <c r="B288" s="44" t="s">
        <v>492</v>
      </c>
      <c r="C288" s="8" t="s">
        <v>230</v>
      </c>
      <c r="D288" s="1"/>
      <c r="E288" s="115"/>
      <c r="F288" s="7">
        <f t="shared" si="68"/>
        <v>2143</v>
      </c>
      <c r="G288" s="7">
        <f t="shared" si="68"/>
        <v>0</v>
      </c>
      <c r="H288" s="36">
        <f t="shared" si="57"/>
        <v>2143</v>
      </c>
      <c r="I288" s="7">
        <f t="shared" si="68"/>
        <v>0</v>
      </c>
      <c r="J288" s="36">
        <f t="shared" si="55"/>
        <v>2143</v>
      </c>
      <c r="K288" s="7">
        <f t="shared" si="68"/>
        <v>0</v>
      </c>
      <c r="L288" s="36">
        <f t="shared" si="52"/>
        <v>2143</v>
      </c>
      <c r="M288" s="7">
        <f t="shared" si="68"/>
        <v>0</v>
      </c>
      <c r="N288" s="36">
        <f t="shared" si="53"/>
        <v>2143</v>
      </c>
      <c r="O288" s="7">
        <f t="shared" si="68"/>
        <v>0</v>
      </c>
      <c r="P288" s="36">
        <f t="shared" si="66"/>
        <v>2143</v>
      </c>
      <c r="Q288" s="7">
        <f t="shared" si="68"/>
        <v>0</v>
      </c>
      <c r="R288" s="36">
        <f t="shared" si="67"/>
        <v>2143</v>
      </c>
    </row>
    <row r="289" spans="1:18" ht="19.5" customHeight="1">
      <c r="A289" s="12" t="s">
        <v>171</v>
      </c>
      <c r="B289" s="44" t="s">
        <v>492</v>
      </c>
      <c r="C289" s="8" t="s">
        <v>230</v>
      </c>
      <c r="D289" s="1" t="s">
        <v>224</v>
      </c>
      <c r="E289" s="115"/>
      <c r="F289" s="7">
        <f t="shared" si="68"/>
        <v>2143</v>
      </c>
      <c r="G289" s="7">
        <f t="shared" si="68"/>
        <v>0</v>
      </c>
      <c r="H289" s="36">
        <f t="shared" si="57"/>
        <v>2143</v>
      </c>
      <c r="I289" s="7">
        <f t="shared" si="68"/>
        <v>0</v>
      </c>
      <c r="J289" s="36">
        <f t="shared" si="55"/>
        <v>2143</v>
      </c>
      <c r="K289" s="7">
        <f t="shared" si="68"/>
        <v>0</v>
      </c>
      <c r="L289" s="36">
        <f t="shared" si="52"/>
        <v>2143</v>
      </c>
      <c r="M289" s="7">
        <f t="shared" si="68"/>
        <v>0</v>
      </c>
      <c r="N289" s="36">
        <f t="shared" si="53"/>
        <v>2143</v>
      </c>
      <c r="O289" s="7">
        <f t="shared" si="68"/>
        <v>0</v>
      </c>
      <c r="P289" s="36">
        <f t="shared" si="66"/>
        <v>2143</v>
      </c>
      <c r="Q289" s="7">
        <f t="shared" si="68"/>
        <v>0</v>
      </c>
      <c r="R289" s="36">
        <f t="shared" si="67"/>
        <v>2143</v>
      </c>
    </row>
    <row r="290" spans="1:18" ht="36.75" customHeight="1">
      <c r="A290" s="62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44" t="s">
        <v>492</v>
      </c>
      <c r="C290" s="8" t="s">
        <v>230</v>
      </c>
      <c r="D290" s="1" t="s">
        <v>224</v>
      </c>
      <c r="E290" s="115">
        <v>600</v>
      </c>
      <c r="F290" s="7">
        <f t="shared" si="68"/>
        <v>2143</v>
      </c>
      <c r="G290" s="7">
        <f t="shared" si="68"/>
        <v>0</v>
      </c>
      <c r="H290" s="36">
        <f t="shared" si="57"/>
        <v>2143</v>
      </c>
      <c r="I290" s="7">
        <f t="shared" si="68"/>
        <v>0</v>
      </c>
      <c r="J290" s="36">
        <f t="shared" si="55"/>
        <v>2143</v>
      </c>
      <c r="K290" s="7">
        <f t="shared" si="68"/>
        <v>0</v>
      </c>
      <c r="L290" s="36">
        <f t="shared" si="52"/>
        <v>2143</v>
      </c>
      <c r="M290" s="7">
        <f t="shared" si="68"/>
        <v>0</v>
      </c>
      <c r="N290" s="36">
        <f t="shared" si="53"/>
        <v>2143</v>
      </c>
      <c r="O290" s="7">
        <f t="shared" si="68"/>
        <v>0</v>
      </c>
      <c r="P290" s="36">
        <f t="shared" si="66"/>
        <v>2143</v>
      </c>
      <c r="Q290" s="7">
        <f t="shared" si="68"/>
        <v>0</v>
      </c>
      <c r="R290" s="36">
        <f t="shared" si="67"/>
        <v>2143</v>
      </c>
    </row>
    <row r="291" spans="1:18" ht="19.5" customHeight="1">
      <c r="A291" s="62" t="str">
        <f ca="1">IF(ISERROR(MATCH(E291,Код_КВР,0)),"",INDIRECT(ADDRESS(MATCH(E291,Код_КВР,0)+1,2,,,"КВР")))</f>
        <v>Субсидии бюджетным учреждениям</v>
      </c>
      <c r="B291" s="44" t="s">
        <v>492</v>
      </c>
      <c r="C291" s="8" t="s">
        <v>230</v>
      </c>
      <c r="D291" s="1" t="s">
        <v>224</v>
      </c>
      <c r="E291" s="115">
        <v>610</v>
      </c>
      <c r="F291" s="7">
        <f t="shared" si="68"/>
        <v>2143</v>
      </c>
      <c r="G291" s="7">
        <f t="shared" si="68"/>
        <v>0</v>
      </c>
      <c r="H291" s="36">
        <f t="shared" si="57"/>
        <v>2143</v>
      </c>
      <c r="I291" s="7">
        <f t="shared" si="68"/>
        <v>0</v>
      </c>
      <c r="J291" s="36">
        <f t="shared" si="55"/>
        <v>2143</v>
      </c>
      <c r="K291" s="7">
        <f t="shared" si="68"/>
        <v>0</v>
      </c>
      <c r="L291" s="36">
        <f aca="true" t="shared" si="69" ref="L291:L354">J291+K291</f>
        <v>2143</v>
      </c>
      <c r="M291" s="7">
        <f t="shared" si="68"/>
        <v>0</v>
      </c>
      <c r="N291" s="36">
        <f aca="true" t="shared" si="70" ref="N291:N354">L291+M291</f>
        <v>2143</v>
      </c>
      <c r="O291" s="7">
        <f t="shared" si="68"/>
        <v>0</v>
      </c>
      <c r="P291" s="36">
        <f t="shared" si="66"/>
        <v>2143</v>
      </c>
      <c r="Q291" s="7">
        <f t="shared" si="68"/>
        <v>0</v>
      </c>
      <c r="R291" s="36">
        <f t="shared" si="67"/>
        <v>2143</v>
      </c>
    </row>
    <row r="292" spans="1:18" ht="19.5" customHeight="1">
      <c r="A292" s="62" t="str">
        <f ca="1">IF(ISERROR(MATCH(E292,Код_КВР,0)),"",INDIRECT(ADDRESS(MATCH(E292,Код_КВР,0)+1,2,,,"КВР")))</f>
        <v>Субсидии бюджетным учреждениям на иные цели</v>
      </c>
      <c r="B292" s="44" t="s">
        <v>492</v>
      </c>
      <c r="C292" s="8" t="s">
        <v>230</v>
      </c>
      <c r="D292" s="1" t="s">
        <v>224</v>
      </c>
      <c r="E292" s="115">
        <v>612</v>
      </c>
      <c r="F292" s="7">
        <f>'прил.5'!G1047</f>
        <v>2143</v>
      </c>
      <c r="G292" s="7">
        <f>'прил.5'!H1047</f>
        <v>0</v>
      </c>
      <c r="H292" s="36">
        <f t="shared" si="57"/>
        <v>2143</v>
      </c>
      <c r="I292" s="7">
        <f>'прил.5'!J1047</f>
        <v>0</v>
      </c>
      <c r="J292" s="36">
        <f t="shared" si="55"/>
        <v>2143</v>
      </c>
      <c r="K292" s="7">
        <f>'прил.5'!L1047</f>
        <v>0</v>
      </c>
      <c r="L292" s="36">
        <f t="shared" si="69"/>
        <v>2143</v>
      </c>
      <c r="M292" s="7">
        <f>'прил.5'!N1047</f>
        <v>0</v>
      </c>
      <c r="N292" s="36">
        <f t="shared" si="70"/>
        <v>2143</v>
      </c>
      <c r="O292" s="7">
        <f>'прил.5'!P1047</f>
        <v>0</v>
      </c>
      <c r="P292" s="36">
        <f t="shared" si="66"/>
        <v>2143</v>
      </c>
      <c r="Q292" s="7">
        <f>'прил.5'!R1047</f>
        <v>0</v>
      </c>
      <c r="R292" s="36">
        <f t="shared" si="67"/>
        <v>2143</v>
      </c>
    </row>
    <row r="293" spans="1:18" ht="21" customHeight="1">
      <c r="A293" s="62" t="str">
        <f ca="1">IF(ISERROR(MATCH(B293,Код_КЦСР,0)),"",INDIRECT(ADDRESS(MATCH(B293,Код_КЦСР,0)+1,2,,,"КЦСР")))</f>
        <v>Оказание муниципальных услуг</v>
      </c>
      <c r="B293" s="44" t="s">
        <v>493</v>
      </c>
      <c r="C293" s="8"/>
      <c r="D293" s="1"/>
      <c r="E293" s="115"/>
      <c r="F293" s="7">
        <f aca="true" t="shared" si="71" ref="F293:Q297">F294</f>
        <v>24363.1</v>
      </c>
      <c r="G293" s="7">
        <f t="shared" si="71"/>
        <v>0</v>
      </c>
      <c r="H293" s="36">
        <f t="shared" si="57"/>
        <v>24363.1</v>
      </c>
      <c r="I293" s="7">
        <f t="shared" si="71"/>
        <v>0</v>
      </c>
      <c r="J293" s="36">
        <f aca="true" t="shared" si="72" ref="J293:J356">H293+I293</f>
        <v>24363.1</v>
      </c>
      <c r="K293" s="7">
        <f t="shared" si="71"/>
        <v>-19.2</v>
      </c>
      <c r="L293" s="36">
        <f t="shared" si="69"/>
        <v>24343.899999999998</v>
      </c>
      <c r="M293" s="7">
        <f t="shared" si="71"/>
        <v>0</v>
      </c>
      <c r="N293" s="36">
        <f t="shared" si="70"/>
        <v>24343.899999999998</v>
      </c>
      <c r="O293" s="7">
        <f t="shared" si="71"/>
        <v>0</v>
      </c>
      <c r="P293" s="36">
        <f t="shared" si="66"/>
        <v>24343.899999999998</v>
      </c>
      <c r="Q293" s="7">
        <f t="shared" si="71"/>
        <v>0</v>
      </c>
      <c r="R293" s="36">
        <f t="shared" si="67"/>
        <v>24343.899999999998</v>
      </c>
    </row>
    <row r="294" spans="1:18" ht="20.25" customHeight="1">
      <c r="A294" s="62" t="str">
        <f ca="1">IF(ISERROR(MATCH(C294,Код_Раздел,0)),"",INDIRECT(ADDRESS(MATCH(C294,Код_Раздел,0)+1,2,,,"Раздел")))</f>
        <v>Культура, кинематография</v>
      </c>
      <c r="B294" s="44" t="s">
        <v>493</v>
      </c>
      <c r="C294" s="8" t="s">
        <v>230</v>
      </c>
      <c r="D294" s="1"/>
      <c r="E294" s="115"/>
      <c r="F294" s="7">
        <f t="shared" si="71"/>
        <v>24363.1</v>
      </c>
      <c r="G294" s="7">
        <f t="shared" si="71"/>
        <v>0</v>
      </c>
      <c r="H294" s="36">
        <f t="shared" si="57"/>
        <v>24363.1</v>
      </c>
      <c r="I294" s="7">
        <f t="shared" si="71"/>
        <v>0</v>
      </c>
      <c r="J294" s="36">
        <f t="shared" si="72"/>
        <v>24363.1</v>
      </c>
      <c r="K294" s="7">
        <f t="shared" si="71"/>
        <v>-19.2</v>
      </c>
      <c r="L294" s="36">
        <f t="shared" si="69"/>
        <v>24343.899999999998</v>
      </c>
      <c r="M294" s="7">
        <f t="shared" si="71"/>
        <v>0</v>
      </c>
      <c r="N294" s="36">
        <f t="shared" si="70"/>
        <v>24343.899999999998</v>
      </c>
      <c r="O294" s="7">
        <f t="shared" si="71"/>
        <v>0</v>
      </c>
      <c r="P294" s="36">
        <f t="shared" si="66"/>
        <v>24343.899999999998</v>
      </c>
      <c r="Q294" s="7">
        <f t="shared" si="71"/>
        <v>0</v>
      </c>
      <c r="R294" s="36">
        <f t="shared" si="67"/>
        <v>24343.899999999998</v>
      </c>
    </row>
    <row r="295" spans="1:18" ht="20.25" customHeight="1">
      <c r="A295" s="12" t="s">
        <v>192</v>
      </c>
      <c r="B295" s="44" t="s">
        <v>493</v>
      </c>
      <c r="C295" s="8" t="s">
        <v>230</v>
      </c>
      <c r="D295" s="1" t="s">
        <v>221</v>
      </c>
      <c r="E295" s="115"/>
      <c r="F295" s="7">
        <f t="shared" si="71"/>
        <v>24363.1</v>
      </c>
      <c r="G295" s="7">
        <f t="shared" si="71"/>
        <v>0</v>
      </c>
      <c r="H295" s="36">
        <f t="shared" si="57"/>
        <v>24363.1</v>
      </c>
      <c r="I295" s="7">
        <f t="shared" si="71"/>
        <v>0</v>
      </c>
      <c r="J295" s="36">
        <f t="shared" si="72"/>
        <v>24363.1</v>
      </c>
      <c r="K295" s="7">
        <f t="shared" si="71"/>
        <v>-19.2</v>
      </c>
      <c r="L295" s="36">
        <f t="shared" si="69"/>
        <v>24343.899999999998</v>
      </c>
      <c r="M295" s="7">
        <f t="shared" si="71"/>
        <v>0</v>
      </c>
      <c r="N295" s="36">
        <f t="shared" si="70"/>
        <v>24343.899999999998</v>
      </c>
      <c r="O295" s="7">
        <f t="shared" si="71"/>
        <v>0</v>
      </c>
      <c r="P295" s="36">
        <f t="shared" si="66"/>
        <v>24343.899999999998</v>
      </c>
      <c r="Q295" s="7">
        <f t="shared" si="71"/>
        <v>0</v>
      </c>
      <c r="R295" s="36">
        <f t="shared" si="67"/>
        <v>24343.899999999998</v>
      </c>
    </row>
    <row r="296" spans="1:18" ht="39" customHeight="1">
      <c r="A296" s="62" t="str">
        <f ca="1">IF(ISERROR(MATCH(E296,Код_КВР,0)),"",INDIRECT(ADDRESS(MATCH(E296,Код_КВР,0)+1,2,,,"КВР")))</f>
        <v>Предоставление субсидий бюджетным, автономным учреждениям и иным некоммерческим организациям</v>
      </c>
      <c r="B296" s="44" t="s">
        <v>493</v>
      </c>
      <c r="C296" s="8" t="s">
        <v>230</v>
      </c>
      <c r="D296" s="1" t="s">
        <v>221</v>
      </c>
      <c r="E296" s="115">
        <v>600</v>
      </c>
      <c r="F296" s="7">
        <f t="shared" si="71"/>
        <v>24363.1</v>
      </c>
      <c r="G296" s="7">
        <f t="shared" si="71"/>
        <v>0</v>
      </c>
      <c r="H296" s="36">
        <f t="shared" si="57"/>
        <v>24363.1</v>
      </c>
      <c r="I296" s="7">
        <f t="shared" si="71"/>
        <v>0</v>
      </c>
      <c r="J296" s="36">
        <f t="shared" si="72"/>
        <v>24363.1</v>
      </c>
      <c r="K296" s="7">
        <f t="shared" si="71"/>
        <v>-19.2</v>
      </c>
      <c r="L296" s="36">
        <f t="shared" si="69"/>
        <v>24343.899999999998</v>
      </c>
      <c r="M296" s="7">
        <f t="shared" si="71"/>
        <v>0</v>
      </c>
      <c r="N296" s="36">
        <f t="shared" si="70"/>
        <v>24343.899999999998</v>
      </c>
      <c r="O296" s="7">
        <f t="shared" si="71"/>
        <v>0</v>
      </c>
      <c r="P296" s="36">
        <f t="shared" si="66"/>
        <v>24343.899999999998</v>
      </c>
      <c r="Q296" s="7">
        <f t="shared" si="71"/>
        <v>0</v>
      </c>
      <c r="R296" s="36">
        <f t="shared" si="67"/>
        <v>24343.899999999998</v>
      </c>
    </row>
    <row r="297" spans="1:18" ht="21" customHeight="1">
      <c r="A297" s="62" t="str">
        <f ca="1">IF(ISERROR(MATCH(E297,Код_КВР,0)),"",INDIRECT(ADDRESS(MATCH(E297,Код_КВР,0)+1,2,,,"КВР")))</f>
        <v>Субсидии бюджетным учреждениям</v>
      </c>
      <c r="B297" s="44" t="s">
        <v>493</v>
      </c>
      <c r="C297" s="8" t="s">
        <v>230</v>
      </c>
      <c r="D297" s="1" t="s">
        <v>221</v>
      </c>
      <c r="E297" s="115">
        <v>610</v>
      </c>
      <c r="F297" s="7">
        <f t="shared" si="71"/>
        <v>24363.1</v>
      </c>
      <c r="G297" s="7">
        <f t="shared" si="71"/>
        <v>0</v>
      </c>
      <c r="H297" s="36">
        <f t="shared" si="57"/>
        <v>24363.1</v>
      </c>
      <c r="I297" s="7">
        <f t="shared" si="71"/>
        <v>0</v>
      </c>
      <c r="J297" s="36">
        <f t="shared" si="72"/>
        <v>24363.1</v>
      </c>
      <c r="K297" s="7">
        <f t="shared" si="71"/>
        <v>-19.2</v>
      </c>
      <c r="L297" s="36">
        <f t="shared" si="69"/>
        <v>24343.899999999998</v>
      </c>
      <c r="M297" s="7">
        <f t="shared" si="71"/>
        <v>0</v>
      </c>
      <c r="N297" s="36">
        <f t="shared" si="70"/>
        <v>24343.899999999998</v>
      </c>
      <c r="O297" s="7">
        <f t="shared" si="71"/>
        <v>0</v>
      </c>
      <c r="P297" s="36">
        <f t="shared" si="66"/>
        <v>24343.899999999998</v>
      </c>
      <c r="Q297" s="7">
        <f t="shared" si="71"/>
        <v>0</v>
      </c>
      <c r="R297" s="36">
        <f t="shared" si="67"/>
        <v>24343.899999999998</v>
      </c>
    </row>
    <row r="298" spans="1:18" ht="53.25" customHeight="1">
      <c r="A298" s="62" t="str">
        <f ca="1">IF(ISERROR(MATCH(E298,Код_КВР,0)),"",INDIRECT(ADDRESS(MATCH(E298,Код_КВР,0)+1,2,,,"КВР")))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8" s="44" t="s">
        <v>493</v>
      </c>
      <c r="C298" s="8" t="s">
        <v>230</v>
      </c>
      <c r="D298" s="1" t="s">
        <v>221</v>
      </c>
      <c r="E298" s="115">
        <v>611</v>
      </c>
      <c r="F298" s="7">
        <f>'прил.5'!G978</f>
        <v>24363.1</v>
      </c>
      <c r="G298" s="7">
        <f>'прил.5'!H978</f>
        <v>0</v>
      </c>
      <c r="H298" s="36">
        <f t="shared" si="57"/>
        <v>24363.1</v>
      </c>
      <c r="I298" s="7">
        <f>'прил.5'!J978</f>
        <v>0</v>
      </c>
      <c r="J298" s="36">
        <f t="shared" si="72"/>
        <v>24363.1</v>
      </c>
      <c r="K298" s="7">
        <f>'прил.5'!L978</f>
        <v>-19.2</v>
      </c>
      <c r="L298" s="36">
        <f t="shared" si="69"/>
        <v>24343.899999999998</v>
      </c>
      <c r="M298" s="7">
        <f>'прил.5'!N978</f>
        <v>0</v>
      </c>
      <c r="N298" s="36">
        <f t="shared" si="70"/>
        <v>24343.899999999998</v>
      </c>
      <c r="O298" s="7">
        <f>'прил.5'!P978</f>
        <v>0</v>
      </c>
      <c r="P298" s="36">
        <f t="shared" si="66"/>
        <v>24343.899999999998</v>
      </c>
      <c r="Q298" s="7">
        <f>'прил.5'!R978</f>
        <v>0</v>
      </c>
      <c r="R298" s="36">
        <f t="shared" si="67"/>
        <v>24343.899999999998</v>
      </c>
    </row>
    <row r="299" spans="1:18" ht="18.75" customHeight="1">
      <c r="A299" s="62" t="str">
        <f ca="1">IF(ISERROR(MATCH(B299,Код_КЦСР,0)),"",INDIRECT(ADDRESS(MATCH(B299,Код_КЦСР,0)+1,2,,,"КЦСР")))</f>
        <v>Формирование и учет фондов библиотеки</v>
      </c>
      <c r="B299" s="44" t="s">
        <v>495</v>
      </c>
      <c r="C299" s="8"/>
      <c r="D299" s="1"/>
      <c r="E299" s="115"/>
      <c r="F299" s="7">
        <f aca="true" t="shared" si="73" ref="F299:Q303">F300</f>
        <v>5799.2</v>
      </c>
      <c r="G299" s="7">
        <f t="shared" si="73"/>
        <v>0</v>
      </c>
      <c r="H299" s="36">
        <f t="shared" si="57"/>
        <v>5799.2</v>
      </c>
      <c r="I299" s="7">
        <f t="shared" si="73"/>
        <v>0</v>
      </c>
      <c r="J299" s="36">
        <f t="shared" si="72"/>
        <v>5799.2</v>
      </c>
      <c r="K299" s="7">
        <f t="shared" si="73"/>
        <v>-1.7</v>
      </c>
      <c r="L299" s="36">
        <f t="shared" si="69"/>
        <v>5797.5</v>
      </c>
      <c r="M299" s="7">
        <f t="shared" si="73"/>
        <v>0</v>
      </c>
      <c r="N299" s="36">
        <f t="shared" si="70"/>
        <v>5797.5</v>
      </c>
      <c r="O299" s="7">
        <f t="shared" si="73"/>
        <v>0</v>
      </c>
      <c r="P299" s="36">
        <f t="shared" si="66"/>
        <v>5797.5</v>
      </c>
      <c r="Q299" s="7">
        <f t="shared" si="73"/>
        <v>0</v>
      </c>
      <c r="R299" s="36">
        <f t="shared" si="67"/>
        <v>5797.5</v>
      </c>
    </row>
    <row r="300" spans="1:18" ht="21" customHeight="1">
      <c r="A300" s="62" t="str">
        <f ca="1">IF(ISERROR(MATCH(C300,Код_Раздел,0)),"",INDIRECT(ADDRESS(MATCH(C300,Код_Раздел,0)+1,2,,,"Раздел")))</f>
        <v>Культура, кинематография</v>
      </c>
      <c r="B300" s="44" t="s">
        <v>495</v>
      </c>
      <c r="C300" s="8" t="s">
        <v>230</v>
      </c>
      <c r="D300" s="1"/>
      <c r="E300" s="115"/>
      <c r="F300" s="7">
        <f t="shared" si="73"/>
        <v>5799.2</v>
      </c>
      <c r="G300" s="7">
        <f t="shared" si="73"/>
        <v>0</v>
      </c>
      <c r="H300" s="36">
        <f t="shared" si="57"/>
        <v>5799.2</v>
      </c>
      <c r="I300" s="7">
        <f t="shared" si="73"/>
        <v>0</v>
      </c>
      <c r="J300" s="36">
        <f t="shared" si="72"/>
        <v>5799.2</v>
      </c>
      <c r="K300" s="7">
        <f t="shared" si="73"/>
        <v>-1.7</v>
      </c>
      <c r="L300" s="36">
        <f t="shared" si="69"/>
        <v>5797.5</v>
      </c>
      <c r="M300" s="7">
        <f t="shared" si="73"/>
        <v>0</v>
      </c>
      <c r="N300" s="36">
        <f t="shared" si="70"/>
        <v>5797.5</v>
      </c>
      <c r="O300" s="7">
        <f t="shared" si="73"/>
        <v>0</v>
      </c>
      <c r="P300" s="36">
        <f t="shared" si="66"/>
        <v>5797.5</v>
      </c>
      <c r="Q300" s="7">
        <f t="shared" si="73"/>
        <v>0</v>
      </c>
      <c r="R300" s="36">
        <f t="shared" si="67"/>
        <v>5797.5</v>
      </c>
    </row>
    <row r="301" spans="1:18" ht="19.5" customHeight="1">
      <c r="A301" s="12" t="s">
        <v>192</v>
      </c>
      <c r="B301" s="44" t="s">
        <v>495</v>
      </c>
      <c r="C301" s="8" t="s">
        <v>230</v>
      </c>
      <c r="D301" s="1" t="s">
        <v>221</v>
      </c>
      <c r="E301" s="115"/>
      <c r="F301" s="7">
        <f t="shared" si="73"/>
        <v>5799.2</v>
      </c>
      <c r="G301" s="7">
        <f t="shared" si="73"/>
        <v>0</v>
      </c>
      <c r="H301" s="36">
        <f aca="true" t="shared" si="74" ref="H301:H364">F301+G301</f>
        <v>5799.2</v>
      </c>
      <c r="I301" s="7">
        <f t="shared" si="73"/>
        <v>0</v>
      </c>
      <c r="J301" s="36">
        <f t="shared" si="72"/>
        <v>5799.2</v>
      </c>
      <c r="K301" s="7">
        <f t="shared" si="73"/>
        <v>-1.7</v>
      </c>
      <c r="L301" s="36">
        <f t="shared" si="69"/>
        <v>5797.5</v>
      </c>
      <c r="M301" s="7">
        <f t="shared" si="73"/>
        <v>0</v>
      </c>
      <c r="N301" s="36">
        <f t="shared" si="70"/>
        <v>5797.5</v>
      </c>
      <c r="O301" s="7">
        <f t="shared" si="73"/>
        <v>0</v>
      </c>
      <c r="P301" s="36">
        <f t="shared" si="66"/>
        <v>5797.5</v>
      </c>
      <c r="Q301" s="7">
        <f t="shared" si="73"/>
        <v>0</v>
      </c>
      <c r="R301" s="36">
        <f t="shared" si="67"/>
        <v>5797.5</v>
      </c>
    </row>
    <row r="302" spans="1:18" ht="36" customHeight="1">
      <c r="A302" s="62" t="str">
        <f ca="1">IF(ISERROR(MATCH(E302,Код_КВР,0)),"",INDIRECT(ADDRESS(MATCH(E302,Код_КВР,0)+1,2,,,"КВР")))</f>
        <v>Предоставление субсидий бюджетным, автономным учреждениям и иным некоммерческим организациям</v>
      </c>
      <c r="B302" s="44" t="s">
        <v>495</v>
      </c>
      <c r="C302" s="8" t="s">
        <v>230</v>
      </c>
      <c r="D302" s="1" t="s">
        <v>221</v>
      </c>
      <c r="E302" s="115">
        <v>600</v>
      </c>
      <c r="F302" s="7">
        <f t="shared" si="73"/>
        <v>5799.2</v>
      </c>
      <c r="G302" s="7">
        <f t="shared" si="73"/>
        <v>0</v>
      </c>
      <c r="H302" s="36">
        <f t="shared" si="74"/>
        <v>5799.2</v>
      </c>
      <c r="I302" s="7">
        <f t="shared" si="73"/>
        <v>0</v>
      </c>
      <c r="J302" s="36">
        <f t="shared" si="72"/>
        <v>5799.2</v>
      </c>
      <c r="K302" s="7">
        <f t="shared" si="73"/>
        <v>-1.7</v>
      </c>
      <c r="L302" s="36">
        <f t="shared" si="69"/>
        <v>5797.5</v>
      </c>
      <c r="M302" s="7">
        <f t="shared" si="73"/>
        <v>0</v>
      </c>
      <c r="N302" s="36">
        <f t="shared" si="70"/>
        <v>5797.5</v>
      </c>
      <c r="O302" s="7">
        <f t="shared" si="73"/>
        <v>0</v>
      </c>
      <c r="P302" s="36">
        <f t="shared" si="66"/>
        <v>5797.5</v>
      </c>
      <c r="Q302" s="7">
        <f t="shared" si="73"/>
        <v>0</v>
      </c>
      <c r="R302" s="36">
        <f t="shared" si="67"/>
        <v>5797.5</v>
      </c>
    </row>
    <row r="303" spans="1:18" ht="18.75" customHeight="1">
      <c r="A303" s="62" t="str">
        <f ca="1">IF(ISERROR(MATCH(E303,Код_КВР,0)),"",INDIRECT(ADDRESS(MATCH(E303,Код_КВР,0)+1,2,,,"КВР")))</f>
        <v>Субсидии бюджетным учреждениям</v>
      </c>
      <c r="B303" s="44" t="s">
        <v>495</v>
      </c>
      <c r="C303" s="8" t="s">
        <v>230</v>
      </c>
      <c r="D303" s="1" t="s">
        <v>221</v>
      </c>
      <c r="E303" s="115">
        <v>610</v>
      </c>
      <c r="F303" s="7">
        <f t="shared" si="73"/>
        <v>5799.2</v>
      </c>
      <c r="G303" s="7">
        <f t="shared" si="73"/>
        <v>0</v>
      </c>
      <c r="H303" s="36">
        <f t="shared" si="74"/>
        <v>5799.2</v>
      </c>
      <c r="I303" s="7">
        <f t="shared" si="73"/>
        <v>0</v>
      </c>
      <c r="J303" s="36">
        <f t="shared" si="72"/>
        <v>5799.2</v>
      </c>
      <c r="K303" s="7">
        <f t="shared" si="73"/>
        <v>-1.7</v>
      </c>
      <c r="L303" s="36">
        <f t="shared" si="69"/>
        <v>5797.5</v>
      </c>
      <c r="M303" s="7">
        <f t="shared" si="73"/>
        <v>0</v>
      </c>
      <c r="N303" s="36">
        <f t="shared" si="70"/>
        <v>5797.5</v>
      </c>
      <c r="O303" s="7">
        <f t="shared" si="73"/>
        <v>0</v>
      </c>
      <c r="P303" s="36">
        <f t="shared" si="66"/>
        <v>5797.5</v>
      </c>
      <c r="Q303" s="7">
        <f t="shared" si="73"/>
        <v>0</v>
      </c>
      <c r="R303" s="36">
        <f t="shared" si="67"/>
        <v>5797.5</v>
      </c>
    </row>
    <row r="304" spans="1:18" ht="51.75" customHeight="1">
      <c r="A304" s="62" t="str">
        <f ca="1">IF(ISERROR(MATCH(E304,Код_КВР,0)),"",INDIRECT(ADDRESS(MATCH(E304,Код_КВР,0)+1,2,,,"КВР")))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4" s="44" t="s">
        <v>495</v>
      </c>
      <c r="C304" s="8" t="s">
        <v>230</v>
      </c>
      <c r="D304" s="1" t="s">
        <v>221</v>
      </c>
      <c r="E304" s="115">
        <v>611</v>
      </c>
      <c r="F304" s="7">
        <f>'прил.5'!G982</f>
        <v>5799.2</v>
      </c>
      <c r="G304" s="7">
        <f>'прил.5'!H982</f>
        <v>0</v>
      </c>
      <c r="H304" s="36">
        <f t="shared" si="74"/>
        <v>5799.2</v>
      </c>
      <c r="I304" s="7">
        <f>'прил.5'!J982</f>
        <v>0</v>
      </c>
      <c r="J304" s="36">
        <f t="shared" si="72"/>
        <v>5799.2</v>
      </c>
      <c r="K304" s="7">
        <f>'прил.5'!L982</f>
        <v>-1.7</v>
      </c>
      <c r="L304" s="36">
        <f t="shared" si="69"/>
        <v>5797.5</v>
      </c>
      <c r="M304" s="7">
        <f>'прил.5'!N982</f>
        <v>0</v>
      </c>
      <c r="N304" s="36">
        <f t="shared" si="70"/>
        <v>5797.5</v>
      </c>
      <c r="O304" s="7">
        <f>'прил.5'!P982</f>
        <v>0</v>
      </c>
      <c r="P304" s="36">
        <f t="shared" si="66"/>
        <v>5797.5</v>
      </c>
      <c r="Q304" s="7">
        <f>'прил.5'!R982</f>
        <v>0</v>
      </c>
      <c r="R304" s="36">
        <f t="shared" si="67"/>
        <v>5797.5</v>
      </c>
    </row>
    <row r="305" spans="1:18" ht="26.1" customHeight="1">
      <c r="A305" s="62" t="str">
        <f ca="1">IF(ISERROR(MATCH(B305,Код_КЦСР,0)),"",INDIRECT(ADDRESS(MATCH(B305,Код_КЦСР,0)+1,2,,,"КЦСР")))</f>
        <v>Обеспечение физической сохранности  и безопасности фонда библиотеки</v>
      </c>
      <c r="B305" s="44" t="s">
        <v>497</v>
      </c>
      <c r="C305" s="8"/>
      <c r="D305" s="1"/>
      <c r="E305" s="115"/>
      <c r="F305" s="7">
        <f aca="true" t="shared" si="75" ref="F305:Q309">F306</f>
        <v>2971.3</v>
      </c>
      <c r="G305" s="7">
        <f t="shared" si="75"/>
        <v>0</v>
      </c>
      <c r="H305" s="36">
        <f t="shared" si="74"/>
        <v>2971.3</v>
      </c>
      <c r="I305" s="7">
        <f t="shared" si="75"/>
        <v>0</v>
      </c>
      <c r="J305" s="36">
        <f t="shared" si="72"/>
        <v>2971.3</v>
      </c>
      <c r="K305" s="7">
        <f t="shared" si="75"/>
        <v>-1</v>
      </c>
      <c r="L305" s="36">
        <f t="shared" si="69"/>
        <v>2970.3</v>
      </c>
      <c r="M305" s="7">
        <f t="shared" si="75"/>
        <v>0</v>
      </c>
      <c r="N305" s="36">
        <f t="shared" si="70"/>
        <v>2970.3</v>
      </c>
      <c r="O305" s="7">
        <f t="shared" si="75"/>
        <v>0</v>
      </c>
      <c r="P305" s="36">
        <f t="shared" si="66"/>
        <v>2970.3</v>
      </c>
      <c r="Q305" s="7">
        <f t="shared" si="75"/>
        <v>0</v>
      </c>
      <c r="R305" s="36">
        <f t="shared" si="67"/>
        <v>2970.3</v>
      </c>
    </row>
    <row r="306" spans="1:18" ht="18.75" customHeight="1">
      <c r="A306" s="62" t="str">
        <f ca="1">IF(ISERROR(MATCH(C306,Код_Раздел,0)),"",INDIRECT(ADDRESS(MATCH(C306,Код_Раздел,0)+1,2,,,"Раздел")))</f>
        <v>Культура, кинематография</v>
      </c>
      <c r="B306" s="44" t="s">
        <v>497</v>
      </c>
      <c r="C306" s="8" t="s">
        <v>230</v>
      </c>
      <c r="D306" s="1"/>
      <c r="E306" s="115"/>
      <c r="F306" s="7">
        <f t="shared" si="75"/>
        <v>2971.3</v>
      </c>
      <c r="G306" s="7">
        <f t="shared" si="75"/>
        <v>0</v>
      </c>
      <c r="H306" s="36">
        <f t="shared" si="74"/>
        <v>2971.3</v>
      </c>
      <c r="I306" s="7">
        <f t="shared" si="75"/>
        <v>0</v>
      </c>
      <c r="J306" s="36">
        <f t="shared" si="72"/>
        <v>2971.3</v>
      </c>
      <c r="K306" s="7">
        <f t="shared" si="75"/>
        <v>-1</v>
      </c>
      <c r="L306" s="36">
        <f t="shared" si="69"/>
        <v>2970.3</v>
      </c>
      <c r="M306" s="7">
        <f t="shared" si="75"/>
        <v>0</v>
      </c>
      <c r="N306" s="36">
        <f t="shared" si="70"/>
        <v>2970.3</v>
      </c>
      <c r="O306" s="7">
        <f t="shared" si="75"/>
        <v>0</v>
      </c>
      <c r="P306" s="36">
        <f t="shared" si="66"/>
        <v>2970.3</v>
      </c>
      <c r="Q306" s="7">
        <f t="shared" si="75"/>
        <v>0</v>
      </c>
      <c r="R306" s="36">
        <f t="shared" si="67"/>
        <v>2970.3</v>
      </c>
    </row>
    <row r="307" spans="1:18" ht="18.75" customHeight="1">
      <c r="A307" s="12" t="s">
        <v>192</v>
      </c>
      <c r="B307" s="44" t="s">
        <v>497</v>
      </c>
      <c r="C307" s="8" t="s">
        <v>230</v>
      </c>
      <c r="D307" s="1" t="s">
        <v>221</v>
      </c>
      <c r="E307" s="115"/>
      <c r="F307" s="7">
        <f t="shared" si="75"/>
        <v>2971.3</v>
      </c>
      <c r="G307" s="7">
        <f t="shared" si="75"/>
        <v>0</v>
      </c>
      <c r="H307" s="36">
        <f t="shared" si="74"/>
        <v>2971.3</v>
      </c>
      <c r="I307" s="7">
        <f t="shared" si="75"/>
        <v>0</v>
      </c>
      <c r="J307" s="36">
        <f t="shared" si="72"/>
        <v>2971.3</v>
      </c>
      <c r="K307" s="7">
        <f t="shared" si="75"/>
        <v>-1</v>
      </c>
      <c r="L307" s="36">
        <f t="shared" si="69"/>
        <v>2970.3</v>
      </c>
      <c r="M307" s="7">
        <f t="shared" si="75"/>
        <v>0</v>
      </c>
      <c r="N307" s="36">
        <f t="shared" si="70"/>
        <v>2970.3</v>
      </c>
      <c r="O307" s="7">
        <f t="shared" si="75"/>
        <v>0</v>
      </c>
      <c r="P307" s="36">
        <f t="shared" si="66"/>
        <v>2970.3</v>
      </c>
      <c r="Q307" s="7">
        <f t="shared" si="75"/>
        <v>0</v>
      </c>
      <c r="R307" s="36">
        <f t="shared" si="67"/>
        <v>2970.3</v>
      </c>
    </row>
    <row r="308" spans="1:18" ht="36.75" customHeight="1">
      <c r="A308" s="62" t="str">
        <f ca="1">IF(ISERROR(MATCH(E308,Код_КВР,0)),"",INDIRECT(ADDRESS(MATCH(E308,Код_КВР,0)+1,2,,,"КВР")))</f>
        <v>Предоставление субсидий бюджетным, автономным учреждениям и иным некоммерческим организациям</v>
      </c>
      <c r="B308" s="44" t="s">
        <v>497</v>
      </c>
      <c r="C308" s="8" t="s">
        <v>230</v>
      </c>
      <c r="D308" s="1" t="s">
        <v>221</v>
      </c>
      <c r="E308" s="115">
        <v>600</v>
      </c>
      <c r="F308" s="7">
        <f t="shared" si="75"/>
        <v>2971.3</v>
      </c>
      <c r="G308" s="7">
        <f t="shared" si="75"/>
        <v>0</v>
      </c>
      <c r="H308" s="36">
        <f t="shared" si="74"/>
        <v>2971.3</v>
      </c>
      <c r="I308" s="7">
        <f t="shared" si="75"/>
        <v>0</v>
      </c>
      <c r="J308" s="36">
        <f t="shared" si="72"/>
        <v>2971.3</v>
      </c>
      <c r="K308" s="7">
        <f t="shared" si="75"/>
        <v>-1</v>
      </c>
      <c r="L308" s="36">
        <f t="shared" si="69"/>
        <v>2970.3</v>
      </c>
      <c r="M308" s="7">
        <f t="shared" si="75"/>
        <v>0</v>
      </c>
      <c r="N308" s="36">
        <f t="shared" si="70"/>
        <v>2970.3</v>
      </c>
      <c r="O308" s="7">
        <f t="shared" si="75"/>
        <v>0</v>
      </c>
      <c r="P308" s="36">
        <f t="shared" si="66"/>
        <v>2970.3</v>
      </c>
      <c r="Q308" s="7">
        <f t="shared" si="75"/>
        <v>0</v>
      </c>
      <c r="R308" s="36">
        <f t="shared" si="67"/>
        <v>2970.3</v>
      </c>
    </row>
    <row r="309" spans="1:18" ht="19.5" customHeight="1">
      <c r="A309" s="62" t="str">
        <f ca="1">IF(ISERROR(MATCH(E309,Код_КВР,0)),"",INDIRECT(ADDRESS(MATCH(E309,Код_КВР,0)+1,2,,,"КВР")))</f>
        <v>Субсидии бюджетным учреждениям</v>
      </c>
      <c r="B309" s="44" t="s">
        <v>497</v>
      </c>
      <c r="C309" s="8" t="s">
        <v>230</v>
      </c>
      <c r="D309" s="1" t="s">
        <v>221</v>
      </c>
      <c r="E309" s="115">
        <v>610</v>
      </c>
      <c r="F309" s="7">
        <f t="shared" si="75"/>
        <v>2971.3</v>
      </c>
      <c r="G309" s="7">
        <f t="shared" si="75"/>
        <v>0</v>
      </c>
      <c r="H309" s="36">
        <f t="shared" si="74"/>
        <v>2971.3</v>
      </c>
      <c r="I309" s="7">
        <f t="shared" si="75"/>
        <v>0</v>
      </c>
      <c r="J309" s="36">
        <f t="shared" si="72"/>
        <v>2971.3</v>
      </c>
      <c r="K309" s="7">
        <f t="shared" si="75"/>
        <v>-1</v>
      </c>
      <c r="L309" s="36">
        <f t="shared" si="69"/>
        <v>2970.3</v>
      </c>
      <c r="M309" s="7">
        <f t="shared" si="75"/>
        <v>0</v>
      </c>
      <c r="N309" s="36">
        <f t="shared" si="70"/>
        <v>2970.3</v>
      </c>
      <c r="O309" s="7">
        <f t="shared" si="75"/>
        <v>0</v>
      </c>
      <c r="P309" s="36">
        <f t="shared" si="66"/>
        <v>2970.3</v>
      </c>
      <c r="Q309" s="7">
        <f t="shared" si="75"/>
        <v>0</v>
      </c>
      <c r="R309" s="36">
        <f t="shared" si="67"/>
        <v>2970.3</v>
      </c>
    </row>
    <row r="310" spans="1:18" ht="53.25" customHeight="1">
      <c r="A310" s="62" t="str">
        <f ca="1">IF(ISERROR(MATCH(E310,Код_КВР,0)),"",INDIRECT(ADDRESS(MATCH(E310,Код_КВР,0)+1,2,,,"КВР")))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0" s="44" t="s">
        <v>497</v>
      </c>
      <c r="C310" s="8" t="s">
        <v>230</v>
      </c>
      <c r="D310" s="1" t="s">
        <v>221</v>
      </c>
      <c r="E310" s="115">
        <v>611</v>
      </c>
      <c r="F310" s="7">
        <f>'прил.5'!G986</f>
        <v>2971.3</v>
      </c>
      <c r="G310" s="7">
        <f>'прил.5'!H986</f>
        <v>0</v>
      </c>
      <c r="H310" s="36">
        <f t="shared" si="74"/>
        <v>2971.3</v>
      </c>
      <c r="I310" s="7">
        <f>'прил.5'!J986</f>
        <v>0</v>
      </c>
      <c r="J310" s="36">
        <f t="shared" si="72"/>
        <v>2971.3</v>
      </c>
      <c r="K310" s="7">
        <f>'прил.5'!L986</f>
        <v>-1</v>
      </c>
      <c r="L310" s="36">
        <f t="shared" si="69"/>
        <v>2970.3</v>
      </c>
      <c r="M310" s="7">
        <f>'прил.5'!N986</f>
        <v>0</v>
      </c>
      <c r="N310" s="36">
        <f t="shared" si="70"/>
        <v>2970.3</v>
      </c>
      <c r="O310" s="7">
        <f>'прил.5'!P986</f>
        <v>0</v>
      </c>
      <c r="P310" s="36">
        <f t="shared" si="66"/>
        <v>2970.3</v>
      </c>
      <c r="Q310" s="7">
        <f>'прил.5'!R986</f>
        <v>0</v>
      </c>
      <c r="R310" s="36">
        <f t="shared" si="67"/>
        <v>2970.3</v>
      </c>
    </row>
    <row r="311" spans="1:18" ht="33.75" customHeight="1">
      <c r="A311" s="62" t="str">
        <f ca="1">IF(ISERROR(MATCH(B311,Код_КЦСР,0)),"",INDIRECT(ADDRESS(MATCH(B311,Код_КЦСР,0)+1,2,,,"КЦСР")))</f>
        <v>Библиографическая обработка документов и организация  каталогов</v>
      </c>
      <c r="B311" s="44" t="s">
        <v>499</v>
      </c>
      <c r="C311" s="8"/>
      <c r="D311" s="1"/>
      <c r="E311" s="115"/>
      <c r="F311" s="7">
        <f aca="true" t="shared" si="76" ref="F311:Q315">F312</f>
        <v>4912.1</v>
      </c>
      <c r="G311" s="7">
        <f t="shared" si="76"/>
        <v>0</v>
      </c>
      <c r="H311" s="36">
        <f t="shared" si="74"/>
        <v>4912.1</v>
      </c>
      <c r="I311" s="7">
        <f t="shared" si="76"/>
        <v>0</v>
      </c>
      <c r="J311" s="36">
        <f t="shared" si="72"/>
        <v>4912.1</v>
      </c>
      <c r="K311" s="7">
        <f t="shared" si="76"/>
        <v>-1.2</v>
      </c>
      <c r="L311" s="36">
        <f t="shared" si="69"/>
        <v>4910.900000000001</v>
      </c>
      <c r="M311" s="7">
        <f t="shared" si="76"/>
        <v>0</v>
      </c>
      <c r="N311" s="36">
        <f t="shared" si="70"/>
        <v>4910.900000000001</v>
      </c>
      <c r="O311" s="7">
        <f t="shared" si="76"/>
        <v>0</v>
      </c>
      <c r="P311" s="36">
        <f t="shared" si="66"/>
        <v>4910.900000000001</v>
      </c>
      <c r="Q311" s="7">
        <f t="shared" si="76"/>
        <v>0</v>
      </c>
      <c r="R311" s="36">
        <f t="shared" si="67"/>
        <v>4910.900000000001</v>
      </c>
    </row>
    <row r="312" spans="1:18" ht="19.5" customHeight="1">
      <c r="A312" s="62" t="str">
        <f ca="1">IF(ISERROR(MATCH(C312,Код_Раздел,0)),"",INDIRECT(ADDRESS(MATCH(C312,Код_Раздел,0)+1,2,,,"Раздел")))</f>
        <v>Культура, кинематография</v>
      </c>
      <c r="B312" s="44" t="s">
        <v>499</v>
      </c>
      <c r="C312" s="8" t="s">
        <v>230</v>
      </c>
      <c r="D312" s="1"/>
      <c r="E312" s="115"/>
      <c r="F312" s="7">
        <f t="shared" si="76"/>
        <v>4912.1</v>
      </c>
      <c r="G312" s="7">
        <f t="shared" si="76"/>
        <v>0</v>
      </c>
      <c r="H312" s="36">
        <f t="shared" si="74"/>
        <v>4912.1</v>
      </c>
      <c r="I312" s="7">
        <f t="shared" si="76"/>
        <v>0</v>
      </c>
      <c r="J312" s="36">
        <f t="shared" si="72"/>
        <v>4912.1</v>
      </c>
      <c r="K312" s="7">
        <f t="shared" si="76"/>
        <v>-1.2</v>
      </c>
      <c r="L312" s="36">
        <f t="shared" si="69"/>
        <v>4910.900000000001</v>
      </c>
      <c r="M312" s="7">
        <f t="shared" si="76"/>
        <v>0</v>
      </c>
      <c r="N312" s="36">
        <f t="shared" si="70"/>
        <v>4910.900000000001</v>
      </c>
      <c r="O312" s="7">
        <f t="shared" si="76"/>
        <v>0</v>
      </c>
      <c r="P312" s="36">
        <f t="shared" si="66"/>
        <v>4910.900000000001</v>
      </c>
      <c r="Q312" s="7">
        <f t="shared" si="76"/>
        <v>0</v>
      </c>
      <c r="R312" s="36">
        <f t="shared" si="67"/>
        <v>4910.900000000001</v>
      </c>
    </row>
    <row r="313" spans="1:18" ht="19.5" customHeight="1">
      <c r="A313" s="12" t="s">
        <v>192</v>
      </c>
      <c r="B313" s="44" t="s">
        <v>499</v>
      </c>
      <c r="C313" s="8" t="s">
        <v>230</v>
      </c>
      <c r="D313" s="1" t="s">
        <v>221</v>
      </c>
      <c r="E313" s="115"/>
      <c r="F313" s="7">
        <f t="shared" si="76"/>
        <v>4912.1</v>
      </c>
      <c r="G313" s="7">
        <f t="shared" si="76"/>
        <v>0</v>
      </c>
      <c r="H313" s="36">
        <f t="shared" si="74"/>
        <v>4912.1</v>
      </c>
      <c r="I313" s="7">
        <f t="shared" si="76"/>
        <v>0</v>
      </c>
      <c r="J313" s="36">
        <f t="shared" si="72"/>
        <v>4912.1</v>
      </c>
      <c r="K313" s="7">
        <f t="shared" si="76"/>
        <v>-1.2</v>
      </c>
      <c r="L313" s="36">
        <f t="shared" si="69"/>
        <v>4910.900000000001</v>
      </c>
      <c r="M313" s="7">
        <f t="shared" si="76"/>
        <v>0</v>
      </c>
      <c r="N313" s="36">
        <f t="shared" si="70"/>
        <v>4910.900000000001</v>
      </c>
      <c r="O313" s="7">
        <f t="shared" si="76"/>
        <v>0</v>
      </c>
      <c r="P313" s="36">
        <f t="shared" si="66"/>
        <v>4910.900000000001</v>
      </c>
      <c r="Q313" s="7">
        <f t="shared" si="76"/>
        <v>0</v>
      </c>
      <c r="R313" s="36">
        <f t="shared" si="67"/>
        <v>4910.900000000001</v>
      </c>
    </row>
    <row r="314" spans="1:18" ht="36.75" customHeight="1">
      <c r="A314" s="62" t="str">
        <f ca="1">IF(ISERROR(MATCH(E314,Код_КВР,0)),"",INDIRECT(ADDRESS(MATCH(E314,Код_КВР,0)+1,2,,,"КВР")))</f>
        <v>Предоставление субсидий бюджетным, автономным учреждениям и иным некоммерческим организациям</v>
      </c>
      <c r="B314" s="44" t="s">
        <v>499</v>
      </c>
      <c r="C314" s="8" t="s">
        <v>230</v>
      </c>
      <c r="D314" s="1" t="s">
        <v>221</v>
      </c>
      <c r="E314" s="115">
        <v>600</v>
      </c>
      <c r="F314" s="7">
        <f t="shared" si="76"/>
        <v>4912.1</v>
      </c>
      <c r="G314" s="7">
        <f t="shared" si="76"/>
        <v>0</v>
      </c>
      <c r="H314" s="36">
        <f t="shared" si="74"/>
        <v>4912.1</v>
      </c>
      <c r="I314" s="7">
        <f t="shared" si="76"/>
        <v>0</v>
      </c>
      <c r="J314" s="36">
        <f t="shared" si="72"/>
        <v>4912.1</v>
      </c>
      <c r="K314" s="7">
        <f t="shared" si="76"/>
        <v>-1.2</v>
      </c>
      <c r="L314" s="36">
        <f t="shared" si="69"/>
        <v>4910.900000000001</v>
      </c>
      <c r="M314" s="7">
        <f t="shared" si="76"/>
        <v>0</v>
      </c>
      <c r="N314" s="36">
        <f t="shared" si="70"/>
        <v>4910.900000000001</v>
      </c>
      <c r="O314" s="7">
        <f t="shared" si="76"/>
        <v>0</v>
      </c>
      <c r="P314" s="36">
        <f t="shared" si="66"/>
        <v>4910.900000000001</v>
      </c>
      <c r="Q314" s="7">
        <f t="shared" si="76"/>
        <v>0</v>
      </c>
      <c r="R314" s="36">
        <f t="shared" si="67"/>
        <v>4910.900000000001</v>
      </c>
    </row>
    <row r="315" spans="1:18" ht="21" customHeight="1">
      <c r="A315" s="62" t="str">
        <f ca="1">IF(ISERROR(MATCH(E315,Код_КВР,0)),"",INDIRECT(ADDRESS(MATCH(E315,Код_КВР,0)+1,2,,,"КВР")))</f>
        <v>Субсидии бюджетным учреждениям</v>
      </c>
      <c r="B315" s="44" t="s">
        <v>499</v>
      </c>
      <c r="C315" s="8" t="s">
        <v>230</v>
      </c>
      <c r="D315" s="1" t="s">
        <v>221</v>
      </c>
      <c r="E315" s="115">
        <v>610</v>
      </c>
      <c r="F315" s="7">
        <f t="shared" si="76"/>
        <v>4912.1</v>
      </c>
      <c r="G315" s="7">
        <f t="shared" si="76"/>
        <v>0</v>
      </c>
      <c r="H315" s="36">
        <f t="shared" si="74"/>
        <v>4912.1</v>
      </c>
      <c r="I315" s="7">
        <f t="shared" si="76"/>
        <v>0</v>
      </c>
      <c r="J315" s="36">
        <f t="shared" si="72"/>
        <v>4912.1</v>
      </c>
      <c r="K315" s="7">
        <f t="shared" si="76"/>
        <v>-1.2</v>
      </c>
      <c r="L315" s="36">
        <f t="shared" si="69"/>
        <v>4910.900000000001</v>
      </c>
      <c r="M315" s="7">
        <f t="shared" si="76"/>
        <v>0</v>
      </c>
      <c r="N315" s="36">
        <f t="shared" si="70"/>
        <v>4910.900000000001</v>
      </c>
      <c r="O315" s="7">
        <f t="shared" si="76"/>
        <v>0</v>
      </c>
      <c r="P315" s="36">
        <f t="shared" si="66"/>
        <v>4910.900000000001</v>
      </c>
      <c r="Q315" s="7">
        <f t="shared" si="76"/>
        <v>0</v>
      </c>
      <c r="R315" s="36">
        <f t="shared" si="67"/>
        <v>4910.900000000001</v>
      </c>
    </row>
    <row r="316" spans="1:18" ht="52.7" customHeight="1">
      <c r="A316" s="62" t="str">
        <f ca="1">IF(ISERROR(MATCH(E316,Код_КВР,0)),"",INDIRECT(ADDRESS(MATCH(E316,Код_КВР,0)+1,2,,,"КВР")))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6" s="44" t="s">
        <v>499</v>
      </c>
      <c r="C316" s="8" t="s">
        <v>230</v>
      </c>
      <c r="D316" s="1" t="s">
        <v>221</v>
      </c>
      <c r="E316" s="115">
        <v>611</v>
      </c>
      <c r="F316" s="7">
        <f>'прил.5'!G990</f>
        <v>4912.1</v>
      </c>
      <c r="G316" s="7">
        <f>'прил.5'!H990</f>
        <v>0</v>
      </c>
      <c r="H316" s="36">
        <f t="shared" si="74"/>
        <v>4912.1</v>
      </c>
      <c r="I316" s="7">
        <f>'прил.5'!J990</f>
        <v>0</v>
      </c>
      <c r="J316" s="36">
        <f t="shared" si="72"/>
        <v>4912.1</v>
      </c>
      <c r="K316" s="7">
        <f>'прил.5'!L990</f>
        <v>-1.2</v>
      </c>
      <c r="L316" s="36">
        <f t="shared" si="69"/>
        <v>4910.900000000001</v>
      </c>
      <c r="M316" s="7">
        <f>'прил.5'!N990</f>
        <v>0</v>
      </c>
      <c r="N316" s="36">
        <f t="shared" si="70"/>
        <v>4910.900000000001</v>
      </c>
      <c r="O316" s="7">
        <f>'прил.5'!P990</f>
        <v>0</v>
      </c>
      <c r="P316" s="36">
        <f t="shared" si="66"/>
        <v>4910.900000000001</v>
      </c>
      <c r="Q316" s="7">
        <f>'прил.5'!R990</f>
        <v>0</v>
      </c>
      <c r="R316" s="36">
        <f t="shared" si="67"/>
        <v>4910.900000000001</v>
      </c>
    </row>
    <row r="317" spans="1:18" ht="12.75">
      <c r="A317" s="62" t="str">
        <f ca="1">IF(ISERROR(MATCH(B317,Код_КЦСР,0)),"",INDIRECT(ADDRESS(MATCH(B317,Код_КЦСР,0)+1,2,,,"КЦСР")))</f>
        <v>Совершенствование культурно-досуговой деятельности</v>
      </c>
      <c r="B317" s="44" t="s">
        <v>501</v>
      </c>
      <c r="C317" s="8"/>
      <c r="D317" s="1"/>
      <c r="E317" s="115"/>
      <c r="F317" s="7">
        <f>F318+F324+F335+F341</f>
        <v>41179.6</v>
      </c>
      <c r="G317" s="7">
        <f>G318+G324+G335+G341</f>
        <v>0</v>
      </c>
      <c r="H317" s="36">
        <f t="shared" si="74"/>
        <v>41179.6</v>
      </c>
      <c r="I317" s="7">
        <f>I318+I324+I335+I341</f>
        <v>0</v>
      </c>
      <c r="J317" s="36">
        <f t="shared" si="72"/>
        <v>41179.6</v>
      </c>
      <c r="K317" s="7">
        <f>K318+K324+K335+K341</f>
        <v>-61.7</v>
      </c>
      <c r="L317" s="36">
        <f t="shared" si="69"/>
        <v>41117.9</v>
      </c>
      <c r="M317" s="7">
        <f>M318+M324+M335+M341</f>
        <v>0</v>
      </c>
      <c r="N317" s="36">
        <f t="shared" si="70"/>
        <v>41117.9</v>
      </c>
      <c r="O317" s="7">
        <f>O318+O324+O335+O341</f>
        <v>0</v>
      </c>
      <c r="P317" s="36">
        <f t="shared" si="66"/>
        <v>41117.9</v>
      </c>
      <c r="Q317" s="7">
        <f>Q318+Q324+Q335+Q341</f>
        <v>-1463.7</v>
      </c>
      <c r="R317" s="36">
        <f t="shared" si="67"/>
        <v>39654.200000000004</v>
      </c>
    </row>
    <row r="318" spans="1:18" ht="72" customHeight="1">
      <c r="A318" s="62" t="str">
        <f ca="1">IF(ISERROR(MATCH(B318,Код_КЦСР,0)),"",INDIRECT(ADDRESS(MATCH(B318,Код_КЦСР,0)+1,2,,,"КЦСР")))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18" s="44" t="s">
        <v>503</v>
      </c>
      <c r="C318" s="8"/>
      <c r="D318" s="1"/>
      <c r="E318" s="115"/>
      <c r="F318" s="7">
        <f aca="true" t="shared" si="77" ref="F318:Q322">F319</f>
        <v>450</v>
      </c>
      <c r="G318" s="7">
        <f t="shared" si="77"/>
        <v>0</v>
      </c>
      <c r="H318" s="36">
        <f t="shared" si="74"/>
        <v>450</v>
      </c>
      <c r="I318" s="7">
        <f t="shared" si="77"/>
        <v>0</v>
      </c>
      <c r="J318" s="36">
        <f t="shared" si="72"/>
        <v>450</v>
      </c>
      <c r="K318" s="7">
        <f t="shared" si="77"/>
        <v>0</v>
      </c>
      <c r="L318" s="36">
        <f t="shared" si="69"/>
        <v>450</v>
      </c>
      <c r="M318" s="7">
        <f t="shared" si="77"/>
        <v>0</v>
      </c>
      <c r="N318" s="36">
        <f t="shared" si="70"/>
        <v>450</v>
      </c>
      <c r="O318" s="7">
        <f t="shared" si="77"/>
        <v>0</v>
      </c>
      <c r="P318" s="36">
        <f t="shared" si="66"/>
        <v>450</v>
      </c>
      <c r="Q318" s="7">
        <f t="shared" si="77"/>
        <v>0</v>
      </c>
      <c r="R318" s="36">
        <f t="shared" si="67"/>
        <v>450</v>
      </c>
    </row>
    <row r="319" spans="1:18" ht="12.75">
      <c r="A319" s="62" t="str">
        <f ca="1">IF(ISERROR(MATCH(C319,Код_Раздел,0)),"",INDIRECT(ADDRESS(MATCH(C319,Код_Раздел,0)+1,2,,,"Раздел")))</f>
        <v>Культура, кинематография</v>
      </c>
      <c r="B319" s="44" t="s">
        <v>503</v>
      </c>
      <c r="C319" s="8" t="s">
        <v>230</v>
      </c>
      <c r="D319" s="1"/>
      <c r="E319" s="115"/>
      <c r="F319" s="7">
        <f t="shared" si="77"/>
        <v>450</v>
      </c>
      <c r="G319" s="7">
        <f t="shared" si="77"/>
        <v>0</v>
      </c>
      <c r="H319" s="36">
        <f t="shared" si="74"/>
        <v>450</v>
      </c>
      <c r="I319" s="7">
        <f t="shared" si="77"/>
        <v>0</v>
      </c>
      <c r="J319" s="36">
        <f t="shared" si="72"/>
        <v>450</v>
      </c>
      <c r="K319" s="7">
        <f t="shared" si="77"/>
        <v>0</v>
      </c>
      <c r="L319" s="36">
        <f t="shared" si="69"/>
        <v>450</v>
      </c>
      <c r="M319" s="7">
        <f t="shared" si="77"/>
        <v>0</v>
      </c>
      <c r="N319" s="36">
        <f t="shared" si="70"/>
        <v>450</v>
      </c>
      <c r="O319" s="7">
        <f t="shared" si="77"/>
        <v>0</v>
      </c>
      <c r="P319" s="36">
        <f t="shared" si="66"/>
        <v>450</v>
      </c>
      <c r="Q319" s="7">
        <f t="shared" si="77"/>
        <v>0</v>
      </c>
      <c r="R319" s="36">
        <f t="shared" si="67"/>
        <v>450</v>
      </c>
    </row>
    <row r="320" spans="1:18" ht="12.75">
      <c r="A320" s="12" t="s">
        <v>171</v>
      </c>
      <c r="B320" s="44" t="s">
        <v>503</v>
      </c>
      <c r="C320" s="8" t="s">
        <v>230</v>
      </c>
      <c r="D320" s="1" t="s">
        <v>224</v>
      </c>
      <c r="E320" s="115"/>
      <c r="F320" s="7">
        <f t="shared" si="77"/>
        <v>450</v>
      </c>
      <c r="G320" s="7">
        <f t="shared" si="77"/>
        <v>0</v>
      </c>
      <c r="H320" s="36">
        <f t="shared" si="74"/>
        <v>450</v>
      </c>
      <c r="I320" s="7">
        <f t="shared" si="77"/>
        <v>0</v>
      </c>
      <c r="J320" s="36">
        <f t="shared" si="72"/>
        <v>450</v>
      </c>
      <c r="K320" s="7">
        <f t="shared" si="77"/>
        <v>0</v>
      </c>
      <c r="L320" s="36">
        <f t="shared" si="69"/>
        <v>450</v>
      </c>
      <c r="M320" s="7">
        <f t="shared" si="77"/>
        <v>0</v>
      </c>
      <c r="N320" s="36">
        <f t="shared" si="70"/>
        <v>450</v>
      </c>
      <c r="O320" s="7">
        <f t="shared" si="77"/>
        <v>0</v>
      </c>
      <c r="P320" s="36">
        <f t="shared" si="66"/>
        <v>450</v>
      </c>
      <c r="Q320" s="7">
        <f t="shared" si="77"/>
        <v>0</v>
      </c>
      <c r="R320" s="36">
        <f t="shared" si="67"/>
        <v>450</v>
      </c>
    </row>
    <row r="321" spans="1:18" ht="33">
      <c r="A321" s="62" t="str">
        <f ca="1">IF(ISERROR(MATCH(E321,Код_КВР,0)),"",INDIRECT(ADDRESS(MATCH(E321,Код_КВР,0)+1,2,,,"КВР")))</f>
        <v>Предоставление субсидий бюджетным, автономным учреждениям и иным некоммерческим организациям</v>
      </c>
      <c r="B321" s="44" t="s">
        <v>503</v>
      </c>
      <c r="C321" s="8" t="s">
        <v>230</v>
      </c>
      <c r="D321" s="1" t="s">
        <v>224</v>
      </c>
      <c r="E321" s="115">
        <v>600</v>
      </c>
      <c r="F321" s="7">
        <f t="shared" si="77"/>
        <v>450</v>
      </c>
      <c r="G321" s="7">
        <f t="shared" si="77"/>
        <v>0</v>
      </c>
      <c r="H321" s="36">
        <f t="shared" si="74"/>
        <v>450</v>
      </c>
      <c r="I321" s="7">
        <f t="shared" si="77"/>
        <v>0</v>
      </c>
      <c r="J321" s="36">
        <f t="shared" si="72"/>
        <v>450</v>
      </c>
      <c r="K321" s="7">
        <f t="shared" si="77"/>
        <v>0</v>
      </c>
      <c r="L321" s="36">
        <f t="shared" si="69"/>
        <v>450</v>
      </c>
      <c r="M321" s="7">
        <f t="shared" si="77"/>
        <v>0</v>
      </c>
      <c r="N321" s="36">
        <f t="shared" si="70"/>
        <v>450</v>
      </c>
      <c r="O321" s="7">
        <f t="shared" si="77"/>
        <v>0</v>
      </c>
      <c r="P321" s="36">
        <f t="shared" si="66"/>
        <v>450</v>
      </c>
      <c r="Q321" s="7">
        <f t="shared" si="77"/>
        <v>0</v>
      </c>
      <c r="R321" s="36">
        <f t="shared" si="67"/>
        <v>450</v>
      </c>
    </row>
    <row r="322" spans="1:18" ht="12.75">
      <c r="A322" s="62" t="str">
        <f ca="1">IF(ISERROR(MATCH(E322,Код_КВР,0)),"",INDIRECT(ADDRESS(MATCH(E322,Код_КВР,0)+1,2,,,"КВР")))</f>
        <v>Субсидии бюджетным учреждениям</v>
      </c>
      <c r="B322" s="44" t="s">
        <v>503</v>
      </c>
      <c r="C322" s="8" t="s">
        <v>230</v>
      </c>
      <c r="D322" s="1" t="s">
        <v>224</v>
      </c>
      <c r="E322" s="115">
        <v>610</v>
      </c>
      <c r="F322" s="7">
        <f t="shared" si="77"/>
        <v>450</v>
      </c>
      <c r="G322" s="7">
        <f t="shared" si="77"/>
        <v>0</v>
      </c>
      <c r="H322" s="36">
        <f t="shared" si="74"/>
        <v>450</v>
      </c>
      <c r="I322" s="7">
        <f t="shared" si="77"/>
        <v>0</v>
      </c>
      <c r="J322" s="36">
        <f t="shared" si="72"/>
        <v>450</v>
      </c>
      <c r="K322" s="7">
        <f t="shared" si="77"/>
        <v>0</v>
      </c>
      <c r="L322" s="36">
        <f t="shared" si="69"/>
        <v>450</v>
      </c>
      <c r="M322" s="7">
        <f t="shared" si="77"/>
        <v>0</v>
      </c>
      <c r="N322" s="36">
        <f t="shared" si="70"/>
        <v>450</v>
      </c>
      <c r="O322" s="7">
        <f t="shared" si="77"/>
        <v>0</v>
      </c>
      <c r="P322" s="36">
        <f t="shared" si="66"/>
        <v>450</v>
      </c>
      <c r="Q322" s="7">
        <f t="shared" si="77"/>
        <v>0</v>
      </c>
      <c r="R322" s="36">
        <f t="shared" si="67"/>
        <v>450</v>
      </c>
    </row>
    <row r="323" spans="1:18" ht="12.75">
      <c r="A323" s="62" t="str">
        <f ca="1">IF(ISERROR(MATCH(E323,Код_КВР,0)),"",INDIRECT(ADDRESS(MATCH(E323,Код_КВР,0)+1,2,,,"КВР")))</f>
        <v>Субсидии бюджетным учреждениям на иные цели</v>
      </c>
      <c r="B323" s="44" t="s">
        <v>503</v>
      </c>
      <c r="C323" s="8" t="s">
        <v>230</v>
      </c>
      <c r="D323" s="1" t="s">
        <v>224</v>
      </c>
      <c r="E323" s="115">
        <v>612</v>
      </c>
      <c r="F323" s="7">
        <f>'прил.5'!G1052</f>
        <v>450</v>
      </c>
      <c r="G323" s="7">
        <f>'прил.5'!H1052</f>
        <v>0</v>
      </c>
      <c r="H323" s="36">
        <f t="shared" si="74"/>
        <v>450</v>
      </c>
      <c r="I323" s="7">
        <f>'прил.5'!J1052</f>
        <v>0</v>
      </c>
      <c r="J323" s="36">
        <f t="shared" si="72"/>
        <v>450</v>
      </c>
      <c r="K323" s="7">
        <f>'прил.5'!L1052</f>
        <v>0</v>
      </c>
      <c r="L323" s="36">
        <f t="shared" si="69"/>
        <v>450</v>
      </c>
      <c r="M323" s="7">
        <f>'прил.5'!N1052</f>
        <v>0</v>
      </c>
      <c r="N323" s="36">
        <f t="shared" si="70"/>
        <v>450</v>
      </c>
      <c r="O323" s="7">
        <f>'прил.5'!P1052</f>
        <v>0</v>
      </c>
      <c r="P323" s="36">
        <f t="shared" si="66"/>
        <v>450</v>
      </c>
      <c r="Q323" s="7">
        <f>'прил.5'!R1052</f>
        <v>0</v>
      </c>
      <c r="R323" s="36">
        <f t="shared" si="67"/>
        <v>450</v>
      </c>
    </row>
    <row r="324" spans="1:18" ht="97.5" customHeight="1">
      <c r="A324" s="62" t="str">
        <f ca="1">IF(ISERROR(MATCH(B324,Код_КЦСР,0)),"",INDIRECT(ADDRESS(MATCH(B324,Код_КЦСР,0)+1,2,,,"КЦСР")))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324" s="44" t="s">
        <v>507</v>
      </c>
      <c r="C324" s="8"/>
      <c r="D324" s="1"/>
      <c r="E324" s="115"/>
      <c r="F324" s="7">
        <f>F325+F330</f>
        <v>183</v>
      </c>
      <c r="G324" s="7">
        <f>G325+G330</f>
        <v>0</v>
      </c>
      <c r="H324" s="36">
        <f t="shared" si="74"/>
        <v>183</v>
      </c>
      <c r="I324" s="7">
        <f>I325+I330</f>
        <v>0</v>
      </c>
      <c r="J324" s="36">
        <f t="shared" si="72"/>
        <v>183</v>
      </c>
      <c r="K324" s="7">
        <f>K325+K330</f>
        <v>0</v>
      </c>
      <c r="L324" s="36">
        <f t="shared" si="69"/>
        <v>183</v>
      </c>
      <c r="M324" s="7">
        <f>M325+M330</f>
        <v>0</v>
      </c>
      <c r="N324" s="36">
        <f t="shared" si="70"/>
        <v>183</v>
      </c>
      <c r="O324" s="7">
        <f>O325+O330</f>
        <v>0</v>
      </c>
      <c r="P324" s="36">
        <f t="shared" si="66"/>
        <v>183</v>
      </c>
      <c r="Q324" s="7">
        <f>Q325+Q330</f>
        <v>0</v>
      </c>
      <c r="R324" s="36">
        <f t="shared" si="67"/>
        <v>183</v>
      </c>
    </row>
    <row r="325" spans="1:18" ht="20.25" customHeight="1">
      <c r="A325" s="62" t="str">
        <f ca="1">IF(ISERROR(MATCH(C325,Код_Раздел,0)),"",INDIRECT(ADDRESS(MATCH(C325,Код_Раздел,0)+1,2,,,"Раздел")))</f>
        <v>Образование</v>
      </c>
      <c r="B325" s="44" t="s">
        <v>507</v>
      </c>
      <c r="C325" s="8" t="s">
        <v>203</v>
      </c>
      <c r="D325" s="1"/>
      <c r="E325" s="115"/>
      <c r="F325" s="7">
        <f aca="true" t="shared" si="78" ref="F325:Q328">F326</f>
        <v>76</v>
      </c>
      <c r="G325" s="7">
        <f t="shared" si="78"/>
        <v>0</v>
      </c>
      <c r="H325" s="36">
        <f t="shared" si="74"/>
        <v>76</v>
      </c>
      <c r="I325" s="7">
        <f t="shared" si="78"/>
        <v>0</v>
      </c>
      <c r="J325" s="36">
        <f t="shared" si="72"/>
        <v>76</v>
      </c>
      <c r="K325" s="7">
        <f t="shared" si="78"/>
        <v>0</v>
      </c>
      <c r="L325" s="36">
        <f t="shared" si="69"/>
        <v>76</v>
      </c>
      <c r="M325" s="7">
        <f t="shared" si="78"/>
        <v>0</v>
      </c>
      <c r="N325" s="36">
        <f t="shared" si="70"/>
        <v>76</v>
      </c>
      <c r="O325" s="7">
        <f t="shared" si="78"/>
        <v>0</v>
      </c>
      <c r="P325" s="36">
        <f t="shared" si="66"/>
        <v>76</v>
      </c>
      <c r="Q325" s="7">
        <f t="shared" si="78"/>
        <v>0</v>
      </c>
      <c r="R325" s="36">
        <f t="shared" si="67"/>
        <v>76</v>
      </c>
    </row>
    <row r="326" spans="1:18" ht="19.5" customHeight="1">
      <c r="A326" s="12" t="s">
        <v>259</v>
      </c>
      <c r="B326" s="44" t="s">
        <v>507</v>
      </c>
      <c r="C326" s="8" t="s">
        <v>203</v>
      </c>
      <c r="D326" s="1" t="s">
        <v>227</v>
      </c>
      <c r="E326" s="115"/>
      <c r="F326" s="7">
        <f t="shared" si="78"/>
        <v>76</v>
      </c>
      <c r="G326" s="7">
        <f t="shared" si="78"/>
        <v>0</v>
      </c>
      <c r="H326" s="36">
        <f t="shared" si="74"/>
        <v>76</v>
      </c>
      <c r="I326" s="7">
        <f t="shared" si="78"/>
        <v>0</v>
      </c>
      <c r="J326" s="36">
        <f t="shared" si="72"/>
        <v>76</v>
      </c>
      <c r="K326" s="7">
        <f t="shared" si="78"/>
        <v>0</v>
      </c>
      <c r="L326" s="36">
        <f t="shared" si="69"/>
        <v>76</v>
      </c>
      <c r="M326" s="7">
        <f t="shared" si="78"/>
        <v>0</v>
      </c>
      <c r="N326" s="36">
        <f t="shared" si="70"/>
        <v>76</v>
      </c>
      <c r="O326" s="7">
        <f t="shared" si="78"/>
        <v>0</v>
      </c>
      <c r="P326" s="36">
        <f t="shared" si="66"/>
        <v>76</v>
      </c>
      <c r="Q326" s="7">
        <f t="shared" si="78"/>
        <v>0</v>
      </c>
      <c r="R326" s="36">
        <f t="shared" si="67"/>
        <v>76</v>
      </c>
    </row>
    <row r="327" spans="1:18" ht="35.25" customHeight="1">
      <c r="A327" s="62" t="str">
        <f ca="1">IF(ISERROR(MATCH(E327,Код_КВР,0)),"",INDIRECT(ADDRESS(MATCH(E327,Код_КВР,0)+1,2,,,"КВР")))</f>
        <v>Предоставление субсидий бюджетным, автономным учреждениям и иным некоммерческим организациям</v>
      </c>
      <c r="B327" s="44" t="s">
        <v>507</v>
      </c>
      <c r="C327" s="8" t="s">
        <v>203</v>
      </c>
      <c r="D327" s="1" t="s">
        <v>227</v>
      </c>
      <c r="E327" s="115">
        <v>600</v>
      </c>
      <c r="F327" s="7">
        <f t="shared" si="78"/>
        <v>76</v>
      </c>
      <c r="G327" s="7">
        <f t="shared" si="78"/>
        <v>0</v>
      </c>
      <c r="H327" s="36">
        <f t="shared" si="74"/>
        <v>76</v>
      </c>
      <c r="I327" s="7">
        <f t="shared" si="78"/>
        <v>0</v>
      </c>
      <c r="J327" s="36">
        <f t="shared" si="72"/>
        <v>76</v>
      </c>
      <c r="K327" s="7">
        <f t="shared" si="78"/>
        <v>0</v>
      </c>
      <c r="L327" s="36">
        <f t="shared" si="69"/>
        <v>76</v>
      </c>
      <c r="M327" s="7">
        <f t="shared" si="78"/>
        <v>0</v>
      </c>
      <c r="N327" s="36">
        <f t="shared" si="70"/>
        <v>76</v>
      </c>
      <c r="O327" s="7">
        <f t="shared" si="78"/>
        <v>0</v>
      </c>
      <c r="P327" s="36">
        <f t="shared" si="66"/>
        <v>76</v>
      </c>
      <c r="Q327" s="7">
        <f t="shared" si="78"/>
        <v>0</v>
      </c>
      <c r="R327" s="36">
        <f t="shared" si="67"/>
        <v>76</v>
      </c>
    </row>
    <row r="328" spans="1:18" ht="19.5" customHeight="1">
      <c r="A328" s="62" t="str">
        <f ca="1">IF(ISERROR(MATCH(E328,Код_КВР,0)),"",INDIRECT(ADDRESS(MATCH(E328,Код_КВР,0)+1,2,,,"КВР")))</f>
        <v>Субсидии бюджетным учреждениям</v>
      </c>
      <c r="B328" s="44" t="s">
        <v>507</v>
      </c>
      <c r="C328" s="8" t="s">
        <v>203</v>
      </c>
      <c r="D328" s="1" t="s">
        <v>227</v>
      </c>
      <c r="E328" s="115">
        <v>610</v>
      </c>
      <c r="F328" s="7">
        <f t="shared" si="78"/>
        <v>76</v>
      </c>
      <c r="G328" s="7">
        <f t="shared" si="78"/>
        <v>0</v>
      </c>
      <c r="H328" s="36">
        <f t="shared" si="74"/>
        <v>76</v>
      </c>
      <c r="I328" s="7">
        <f t="shared" si="78"/>
        <v>0</v>
      </c>
      <c r="J328" s="36">
        <f t="shared" si="72"/>
        <v>76</v>
      </c>
      <c r="K328" s="7">
        <f t="shared" si="78"/>
        <v>0</v>
      </c>
      <c r="L328" s="36">
        <f t="shared" si="69"/>
        <v>76</v>
      </c>
      <c r="M328" s="7">
        <f t="shared" si="78"/>
        <v>0</v>
      </c>
      <c r="N328" s="36">
        <f t="shared" si="70"/>
        <v>76</v>
      </c>
      <c r="O328" s="7">
        <f t="shared" si="78"/>
        <v>0</v>
      </c>
      <c r="P328" s="36">
        <f t="shared" si="66"/>
        <v>76</v>
      </c>
      <c r="Q328" s="7">
        <f t="shared" si="78"/>
        <v>0</v>
      </c>
      <c r="R328" s="36">
        <f t="shared" si="67"/>
        <v>76</v>
      </c>
    </row>
    <row r="329" spans="1:18" ht="19.5" customHeight="1">
      <c r="A329" s="62" t="str">
        <f ca="1">IF(ISERROR(MATCH(E329,Код_КВР,0)),"",INDIRECT(ADDRESS(MATCH(E329,Код_КВР,0)+1,2,,,"КВР")))</f>
        <v>Субсидии бюджетным учреждениям на иные цели</v>
      </c>
      <c r="B329" s="44" t="s">
        <v>507</v>
      </c>
      <c r="C329" s="8" t="s">
        <v>203</v>
      </c>
      <c r="D329" s="1" t="s">
        <v>227</v>
      </c>
      <c r="E329" s="115">
        <v>612</v>
      </c>
      <c r="F329" s="7">
        <f>'прил.5'!G930</f>
        <v>76</v>
      </c>
      <c r="G329" s="7">
        <f>'прил.5'!H930</f>
        <v>0</v>
      </c>
      <c r="H329" s="36">
        <f t="shared" si="74"/>
        <v>76</v>
      </c>
      <c r="I329" s="7">
        <f>'прил.5'!J930</f>
        <v>0</v>
      </c>
      <c r="J329" s="36">
        <f t="shared" si="72"/>
        <v>76</v>
      </c>
      <c r="K329" s="7">
        <f>'прил.5'!L930</f>
        <v>0</v>
      </c>
      <c r="L329" s="36">
        <f t="shared" si="69"/>
        <v>76</v>
      </c>
      <c r="M329" s="7">
        <f>'прил.5'!N930</f>
        <v>0</v>
      </c>
      <c r="N329" s="36">
        <f t="shared" si="70"/>
        <v>76</v>
      </c>
      <c r="O329" s="7">
        <f>'прил.5'!P930</f>
        <v>0</v>
      </c>
      <c r="P329" s="36">
        <f t="shared" si="66"/>
        <v>76</v>
      </c>
      <c r="Q329" s="7">
        <f>'прил.5'!R930</f>
        <v>0</v>
      </c>
      <c r="R329" s="36">
        <f t="shared" si="67"/>
        <v>76</v>
      </c>
    </row>
    <row r="330" spans="1:18" ht="20.25" customHeight="1">
      <c r="A330" s="62" t="str">
        <f ca="1">IF(ISERROR(MATCH(C330,Код_Раздел,0)),"",INDIRECT(ADDRESS(MATCH(C330,Код_Раздел,0)+1,2,,,"Раздел")))</f>
        <v>Культура, кинематография</v>
      </c>
      <c r="B330" s="44" t="s">
        <v>507</v>
      </c>
      <c r="C330" s="8" t="s">
        <v>230</v>
      </c>
      <c r="D330" s="1"/>
      <c r="E330" s="115"/>
      <c r="F330" s="7">
        <f aca="true" t="shared" si="79" ref="F330:Q333">F331</f>
        <v>107</v>
      </c>
      <c r="G330" s="7">
        <f t="shared" si="79"/>
        <v>0</v>
      </c>
      <c r="H330" s="36">
        <f t="shared" si="74"/>
        <v>107</v>
      </c>
      <c r="I330" s="7">
        <f t="shared" si="79"/>
        <v>0</v>
      </c>
      <c r="J330" s="36">
        <f t="shared" si="72"/>
        <v>107</v>
      </c>
      <c r="K330" s="7">
        <f t="shared" si="79"/>
        <v>0</v>
      </c>
      <c r="L330" s="36">
        <f t="shared" si="69"/>
        <v>107</v>
      </c>
      <c r="M330" s="7">
        <f t="shared" si="79"/>
        <v>0</v>
      </c>
      <c r="N330" s="36">
        <f t="shared" si="70"/>
        <v>107</v>
      </c>
      <c r="O330" s="7">
        <f t="shared" si="79"/>
        <v>0</v>
      </c>
      <c r="P330" s="36">
        <f t="shared" si="66"/>
        <v>107</v>
      </c>
      <c r="Q330" s="7">
        <f t="shared" si="79"/>
        <v>0</v>
      </c>
      <c r="R330" s="36">
        <f t="shared" si="67"/>
        <v>107</v>
      </c>
    </row>
    <row r="331" spans="1:18" ht="18.75" customHeight="1">
      <c r="A331" s="12" t="s">
        <v>171</v>
      </c>
      <c r="B331" s="44" t="s">
        <v>507</v>
      </c>
      <c r="C331" s="8" t="s">
        <v>230</v>
      </c>
      <c r="D331" s="1" t="s">
        <v>224</v>
      </c>
      <c r="E331" s="115"/>
      <c r="F331" s="7">
        <f t="shared" si="79"/>
        <v>107</v>
      </c>
      <c r="G331" s="7">
        <f t="shared" si="79"/>
        <v>0</v>
      </c>
      <c r="H331" s="36">
        <f t="shared" si="74"/>
        <v>107</v>
      </c>
      <c r="I331" s="7">
        <f t="shared" si="79"/>
        <v>0</v>
      </c>
      <c r="J331" s="36">
        <f t="shared" si="72"/>
        <v>107</v>
      </c>
      <c r="K331" s="7">
        <f t="shared" si="79"/>
        <v>0</v>
      </c>
      <c r="L331" s="36">
        <f t="shared" si="69"/>
        <v>107</v>
      </c>
      <c r="M331" s="7">
        <f t="shared" si="79"/>
        <v>0</v>
      </c>
      <c r="N331" s="36">
        <f t="shared" si="70"/>
        <v>107</v>
      </c>
      <c r="O331" s="7">
        <f t="shared" si="79"/>
        <v>0</v>
      </c>
      <c r="P331" s="36">
        <f t="shared" si="66"/>
        <v>107</v>
      </c>
      <c r="Q331" s="7">
        <f t="shared" si="79"/>
        <v>0</v>
      </c>
      <c r="R331" s="36">
        <f t="shared" si="67"/>
        <v>107</v>
      </c>
    </row>
    <row r="332" spans="1:18" ht="35.25" customHeight="1">
      <c r="A332" s="62" t="str">
        <f ca="1">IF(ISERROR(MATCH(E332,Код_КВР,0)),"",INDIRECT(ADDRESS(MATCH(E332,Код_КВР,0)+1,2,,,"КВР")))</f>
        <v>Предоставление субсидий бюджетным, автономным учреждениям и иным некоммерческим организациям</v>
      </c>
      <c r="B332" s="44" t="s">
        <v>507</v>
      </c>
      <c r="C332" s="8" t="s">
        <v>230</v>
      </c>
      <c r="D332" s="1" t="s">
        <v>224</v>
      </c>
      <c r="E332" s="115">
        <v>600</v>
      </c>
      <c r="F332" s="7">
        <f t="shared" si="79"/>
        <v>107</v>
      </c>
      <c r="G332" s="7">
        <f t="shared" si="79"/>
        <v>0</v>
      </c>
      <c r="H332" s="36">
        <f t="shared" si="74"/>
        <v>107</v>
      </c>
      <c r="I332" s="7">
        <f t="shared" si="79"/>
        <v>0</v>
      </c>
      <c r="J332" s="36">
        <f t="shared" si="72"/>
        <v>107</v>
      </c>
      <c r="K332" s="7">
        <f t="shared" si="79"/>
        <v>0</v>
      </c>
      <c r="L332" s="36">
        <f t="shared" si="69"/>
        <v>107</v>
      </c>
      <c r="M332" s="7">
        <f t="shared" si="79"/>
        <v>0</v>
      </c>
      <c r="N332" s="36">
        <f t="shared" si="70"/>
        <v>107</v>
      </c>
      <c r="O332" s="7">
        <f t="shared" si="79"/>
        <v>0</v>
      </c>
      <c r="P332" s="36">
        <f t="shared" si="66"/>
        <v>107</v>
      </c>
      <c r="Q332" s="7">
        <f t="shared" si="79"/>
        <v>0</v>
      </c>
      <c r="R332" s="36">
        <f t="shared" si="67"/>
        <v>107</v>
      </c>
    </row>
    <row r="333" spans="1:18" ht="18.75" customHeight="1">
      <c r="A333" s="62" t="str">
        <f ca="1">IF(ISERROR(MATCH(E333,Код_КВР,0)),"",INDIRECT(ADDRESS(MATCH(E333,Код_КВР,0)+1,2,,,"КВР")))</f>
        <v>Субсидии бюджетным учреждениям</v>
      </c>
      <c r="B333" s="44" t="s">
        <v>507</v>
      </c>
      <c r="C333" s="8" t="s">
        <v>230</v>
      </c>
      <c r="D333" s="1" t="s">
        <v>224</v>
      </c>
      <c r="E333" s="115">
        <v>610</v>
      </c>
      <c r="F333" s="7">
        <f t="shared" si="79"/>
        <v>107</v>
      </c>
      <c r="G333" s="7">
        <f t="shared" si="79"/>
        <v>0</v>
      </c>
      <c r="H333" s="36">
        <f t="shared" si="74"/>
        <v>107</v>
      </c>
      <c r="I333" s="7">
        <f t="shared" si="79"/>
        <v>0</v>
      </c>
      <c r="J333" s="36">
        <f t="shared" si="72"/>
        <v>107</v>
      </c>
      <c r="K333" s="7">
        <f t="shared" si="79"/>
        <v>0</v>
      </c>
      <c r="L333" s="36">
        <f t="shared" si="69"/>
        <v>107</v>
      </c>
      <c r="M333" s="7">
        <f t="shared" si="79"/>
        <v>0</v>
      </c>
      <c r="N333" s="36">
        <f t="shared" si="70"/>
        <v>107</v>
      </c>
      <c r="O333" s="7">
        <f t="shared" si="79"/>
        <v>0</v>
      </c>
      <c r="P333" s="36">
        <f t="shared" si="66"/>
        <v>107</v>
      </c>
      <c r="Q333" s="7">
        <f t="shared" si="79"/>
        <v>0</v>
      </c>
      <c r="R333" s="36">
        <f t="shared" si="67"/>
        <v>107</v>
      </c>
    </row>
    <row r="334" spans="1:18" ht="21" customHeight="1">
      <c r="A334" s="62" t="str">
        <f ca="1">IF(ISERROR(MATCH(E334,Код_КВР,0)),"",INDIRECT(ADDRESS(MATCH(E334,Код_КВР,0)+1,2,,,"КВР")))</f>
        <v>Субсидии бюджетным учреждениям на иные цели</v>
      </c>
      <c r="B334" s="44" t="s">
        <v>507</v>
      </c>
      <c r="C334" s="8" t="s">
        <v>230</v>
      </c>
      <c r="D334" s="1" t="s">
        <v>224</v>
      </c>
      <c r="E334" s="115">
        <v>612</v>
      </c>
      <c r="F334" s="7">
        <f>'прил.5'!G1056</f>
        <v>107</v>
      </c>
      <c r="G334" s="7">
        <f>'прил.5'!H1056</f>
        <v>0</v>
      </c>
      <c r="H334" s="36">
        <f t="shared" si="74"/>
        <v>107</v>
      </c>
      <c r="I334" s="7">
        <f>'прил.5'!J1056</f>
        <v>0</v>
      </c>
      <c r="J334" s="36">
        <f t="shared" si="72"/>
        <v>107</v>
      </c>
      <c r="K334" s="7">
        <f>'прил.5'!L1056</f>
        <v>0</v>
      </c>
      <c r="L334" s="36">
        <f t="shared" si="69"/>
        <v>107</v>
      </c>
      <c r="M334" s="7">
        <f>'прил.5'!N1056</f>
        <v>0</v>
      </c>
      <c r="N334" s="36">
        <f t="shared" si="70"/>
        <v>107</v>
      </c>
      <c r="O334" s="7">
        <f>'прил.5'!P1056</f>
        <v>0</v>
      </c>
      <c r="P334" s="36">
        <f t="shared" si="66"/>
        <v>107</v>
      </c>
      <c r="Q334" s="7">
        <f>'прил.5'!R1056</f>
        <v>0</v>
      </c>
      <c r="R334" s="36">
        <f t="shared" si="67"/>
        <v>107</v>
      </c>
    </row>
    <row r="335" spans="1:18" ht="19.5" customHeight="1">
      <c r="A335" s="62" t="str">
        <f ca="1">IF(ISERROR(MATCH(B335,Код_КЦСР,0)),"",INDIRECT(ADDRESS(MATCH(B335,Код_КЦСР,0)+1,2,,,"КЦСР")))</f>
        <v>Оказание муниципальных услуг</v>
      </c>
      <c r="B335" s="44" t="s">
        <v>508</v>
      </c>
      <c r="C335" s="8"/>
      <c r="D335" s="1"/>
      <c r="E335" s="115"/>
      <c r="F335" s="7">
        <f aca="true" t="shared" si="80" ref="F335:Q339">F336</f>
        <v>37417.2</v>
      </c>
      <c r="G335" s="7">
        <f t="shared" si="80"/>
        <v>0</v>
      </c>
      <c r="H335" s="36">
        <f t="shared" si="74"/>
        <v>37417.2</v>
      </c>
      <c r="I335" s="7">
        <f t="shared" si="80"/>
        <v>0</v>
      </c>
      <c r="J335" s="36">
        <f t="shared" si="72"/>
        <v>37417.2</v>
      </c>
      <c r="K335" s="7">
        <f t="shared" si="80"/>
        <v>-59.5</v>
      </c>
      <c r="L335" s="36">
        <f t="shared" si="69"/>
        <v>37357.7</v>
      </c>
      <c r="M335" s="7">
        <f t="shared" si="80"/>
        <v>0</v>
      </c>
      <c r="N335" s="36">
        <f t="shared" si="70"/>
        <v>37357.7</v>
      </c>
      <c r="O335" s="7">
        <f t="shared" si="80"/>
        <v>0</v>
      </c>
      <c r="P335" s="36">
        <f t="shared" si="66"/>
        <v>37357.7</v>
      </c>
      <c r="Q335" s="7">
        <f t="shared" si="80"/>
        <v>-1463.7</v>
      </c>
      <c r="R335" s="36">
        <f t="shared" si="67"/>
        <v>35894</v>
      </c>
    </row>
    <row r="336" spans="1:18" ht="18.75" customHeight="1">
      <c r="A336" s="62" t="str">
        <f ca="1">IF(ISERROR(MATCH(C336,Код_Раздел,0)),"",INDIRECT(ADDRESS(MATCH(C336,Код_Раздел,0)+1,2,,,"Раздел")))</f>
        <v>Культура, кинематография</v>
      </c>
      <c r="B336" s="44" t="s">
        <v>508</v>
      </c>
      <c r="C336" s="8" t="s">
        <v>230</v>
      </c>
      <c r="D336" s="1"/>
      <c r="E336" s="115"/>
      <c r="F336" s="7">
        <f t="shared" si="80"/>
        <v>37417.2</v>
      </c>
      <c r="G336" s="7">
        <f t="shared" si="80"/>
        <v>0</v>
      </c>
      <c r="H336" s="36">
        <f t="shared" si="74"/>
        <v>37417.2</v>
      </c>
      <c r="I336" s="7">
        <f t="shared" si="80"/>
        <v>0</v>
      </c>
      <c r="J336" s="36">
        <f t="shared" si="72"/>
        <v>37417.2</v>
      </c>
      <c r="K336" s="7">
        <f t="shared" si="80"/>
        <v>-59.5</v>
      </c>
      <c r="L336" s="36">
        <f t="shared" si="69"/>
        <v>37357.7</v>
      </c>
      <c r="M336" s="7">
        <f t="shared" si="80"/>
        <v>0</v>
      </c>
      <c r="N336" s="36">
        <f t="shared" si="70"/>
        <v>37357.7</v>
      </c>
      <c r="O336" s="7">
        <f t="shared" si="80"/>
        <v>0</v>
      </c>
      <c r="P336" s="36">
        <f t="shared" si="66"/>
        <v>37357.7</v>
      </c>
      <c r="Q336" s="7">
        <f t="shared" si="80"/>
        <v>-1463.7</v>
      </c>
      <c r="R336" s="36">
        <f t="shared" si="67"/>
        <v>35894</v>
      </c>
    </row>
    <row r="337" spans="1:18" ht="18.75" customHeight="1">
      <c r="A337" s="12" t="s">
        <v>192</v>
      </c>
      <c r="B337" s="44" t="s">
        <v>508</v>
      </c>
      <c r="C337" s="8" t="s">
        <v>230</v>
      </c>
      <c r="D337" s="1" t="s">
        <v>221</v>
      </c>
      <c r="E337" s="115"/>
      <c r="F337" s="7">
        <f t="shared" si="80"/>
        <v>37417.2</v>
      </c>
      <c r="G337" s="7">
        <f t="shared" si="80"/>
        <v>0</v>
      </c>
      <c r="H337" s="36">
        <f t="shared" si="74"/>
        <v>37417.2</v>
      </c>
      <c r="I337" s="7">
        <f t="shared" si="80"/>
        <v>0</v>
      </c>
      <c r="J337" s="36">
        <f t="shared" si="72"/>
        <v>37417.2</v>
      </c>
      <c r="K337" s="7">
        <f t="shared" si="80"/>
        <v>-59.5</v>
      </c>
      <c r="L337" s="36">
        <f t="shared" si="69"/>
        <v>37357.7</v>
      </c>
      <c r="M337" s="7">
        <f t="shared" si="80"/>
        <v>0</v>
      </c>
      <c r="N337" s="36">
        <f t="shared" si="70"/>
        <v>37357.7</v>
      </c>
      <c r="O337" s="7">
        <f t="shared" si="80"/>
        <v>0</v>
      </c>
      <c r="P337" s="36">
        <f t="shared" si="66"/>
        <v>37357.7</v>
      </c>
      <c r="Q337" s="7">
        <f t="shared" si="80"/>
        <v>-1463.7</v>
      </c>
      <c r="R337" s="36">
        <f t="shared" si="67"/>
        <v>35894</v>
      </c>
    </row>
    <row r="338" spans="1:18" ht="35.25" customHeight="1">
      <c r="A338" s="62" t="str">
        <f ca="1">IF(ISERROR(MATCH(E338,Код_КВР,0)),"",INDIRECT(ADDRESS(MATCH(E338,Код_КВР,0)+1,2,,,"КВР")))</f>
        <v>Предоставление субсидий бюджетным, автономным учреждениям и иным некоммерческим организациям</v>
      </c>
      <c r="B338" s="44" t="s">
        <v>508</v>
      </c>
      <c r="C338" s="8" t="s">
        <v>230</v>
      </c>
      <c r="D338" s="1" t="s">
        <v>221</v>
      </c>
      <c r="E338" s="115">
        <v>600</v>
      </c>
      <c r="F338" s="7">
        <f t="shared" si="80"/>
        <v>37417.2</v>
      </c>
      <c r="G338" s="7">
        <f t="shared" si="80"/>
        <v>0</v>
      </c>
      <c r="H338" s="36">
        <f t="shared" si="74"/>
        <v>37417.2</v>
      </c>
      <c r="I338" s="7">
        <f t="shared" si="80"/>
        <v>0</v>
      </c>
      <c r="J338" s="36">
        <f t="shared" si="72"/>
        <v>37417.2</v>
      </c>
      <c r="K338" s="7">
        <f t="shared" si="80"/>
        <v>-59.5</v>
      </c>
      <c r="L338" s="36">
        <f t="shared" si="69"/>
        <v>37357.7</v>
      </c>
      <c r="M338" s="7">
        <f t="shared" si="80"/>
        <v>0</v>
      </c>
      <c r="N338" s="36">
        <f t="shared" si="70"/>
        <v>37357.7</v>
      </c>
      <c r="O338" s="7">
        <f t="shared" si="80"/>
        <v>0</v>
      </c>
      <c r="P338" s="36">
        <f t="shared" si="66"/>
        <v>37357.7</v>
      </c>
      <c r="Q338" s="7">
        <f t="shared" si="80"/>
        <v>-1463.7</v>
      </c>
      <c r="R338" s="36">
        <f t="shared" si="67"/>
        <v>35894</v>
      </c>
    </row>
    <row r="339" spans="1:18" ht="20.25" customHeight="1">
      <c r="A339" s="62" t="str">
        <f ca="1">IF(ISERROR(MATCH(E339,Код_КВР,0)),"",INDIRECT(ADDRESS(MATCH(E339,Код_КВР,0)+1,2,,,"КВР")))</f>
        <v>Субсидии бюджетным учреждениям</v>
      </c>
      <c r="B339" s="44" t="s">
        <v>508</v>
      </c>
      <c r="C339" s="8" t="s">
        <v>230</v>
      </c>
      <c r="D339" s="1" t="s">
        <v>221</v>
      </c>
      <c r="E339" s="115">
        <v>610</v>
      </c>
      <c r="F339" s="7">
        <f t="shared" si="80"/>
        <v>37417.2</v>
      </c>
      <c r="G339" s="7">
        <f t="shared" si="80"/>
        <v>0</v>
      </c>
      <c r="H339" s="36">
        <f t="shared" si="74"/>
        <v>37417.2</v>
      </c>
      <c r="I339" s="7">
        <f t="shared" si="80"/>
        <v>0</v>
      </c>
      <c r="J339" s="36">
        <f t="shared" si="72"/>
        <v>37417.2</v>
      </c>
      <c r="K339" s="7">
        <f t="shared" si="80"/>
        <v>-59.5</v>
      </c>
      <c r="L339" s="36">
        <f t="shared" si="69"/>
        <v>37357.7</v>
      </c>
      <c r="M339" s="7">
        <f t="shared" si="80"/>
        <v>0</v>
      </c>
      <c r="N339" s="36">
        <f t="shared" si="70"/>
        <v>37357.7</v>
      </c>
      <c r="O339" s="7">
        <f t="shared" si="80"/>
        <v>0</v>
      </c>
      <c r="P339" s="36">
        <f t="shared" si="66"/>
        <v>37357.7</v>
      </c>
      <c r="Q339" s="7">
        <f t="shared" si="80"/>
        <v>-1463.7</v>
      </c>
      <c r="R339" s="36">
        <f t="shared" si="67"/>
        <v>35894</v>
      </c>
    </row>
    <row r="340" spans="1:18" ht="53.25" customHeight="1">
      <c r="A340" s="62" t="str">
        <f ca="1">IF(ISERROR(MATCH(E340,Код_КВР,0)),"",INDIRECT(ADDRESS(MATCH(E340,Код_КВР,0)+1,2,,,"КВР")))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0" s="44" t="s">
        <v>508</v>
      </c>
      <c r="C340" s="8" t="s">
        <v>230</v>
      </c>
      <c r="D340" s="1" t="s">
        <v>221</v>
      </c>
      <c r="E340" s="115">
        <v>611</v>
      </c>
      <c r="F340" s="7">
        <f>'прил.5'!G995</f>
        <v>37417.2</v>
      </c>
      <c r="G340" s="7">
        <f>'прил.5'!H995</f>
        <v>0</v>
      </c>
      <c r="H340" s="36">
        <f t="shared" si="74"/>
        <v>37417.2</v>
      </c>
      <c r="I340" s="7">
        <f>'прил.5'!J995</f>
        <v>0</v>
      </c>
      <c r="J340" s="36">
        <f t="shared" si="72"/>
        <v>37417.2</v>
      </c>
      <c r="K340" s="7">
        <f>'прил.5'!L995</f>
        <v>-59.5</v>
      </c>
      <c r="L340" s="36">
        <f t="shared" si="69"/>
        <v>37357.7</v>
      </c>
      <c r="M340" s="7">
        <f>'прил.5'!N995</f>
        <v>0</v>
      </c>
      <c r="N340" s="36">
        <f t="shared" si="70"/>
        <v>37357.7</v>
      </c>
      <c r="O340" s="7">
        <f>'прил.5'!P995</f>
        <v>0</v>
      </c>
      <c r="P340" s="36">
        <f t="shared" si="66"/>
        <v>37357.7</v>
      </c>
      <c r="Q340" s="7">
        <f>'прил.5'!R995</f>
        <v>-1463.7</v>
      </c>
      <c r="R340" s="36">
        <f t="shared" si="67"/>
        <v>35894</v>
      </c>
    </row>
    <row r="341" spans="1:18" ht="36.75" customHeight="1">
      <c r="A341" s="62" t="str">
        <f ca="1">IF(ISERROR(MATCH(B341,Код_КЦСР,0)),"",INDIRECT(ADDRESS(MATCH(B341,Код_КЦСР,0)+1,2,,,"КЦСР")))</f>
        <v>Сохранение нематериального культурного наследия народов традиционной народной культуры</v>
      </c>
      <c r="B341" s="44" t="s">
        <v>509</v>
      </c>
      <c r="C341" s="8"/>
      <c r="D341" s="1"/>
      <c r="E341" s="115"/>
      <c r="F341" s="7">
        <f aca="true" t="shared" si="81" ref="F341:Q345">F342</f>
        <v>3129.4</v>
      </c>
      <c r="G341" s="7">
        <f t="shared" si="81"/>
        <v>0</v>
      </c>
      <c r="H341" s="36">
        <f t="shared" si="74"/>
        <v>3129.4</v>
      </c>
      <c r="I341" s="7">
        <f t="shared" si="81"/>
        <v>0</v>
      </c>
      <c r="J341" s="36">
        <f t="shared" si="72"/>
        <v>3129.4</v>
      </c>
      <c r="K341" s="7">
        <f t="shared" si="81"/>
        <v>-2.2</v>
      </c>
      <c r="L341" s="36">
        <f t="shared" si="69"/>
        <v>3127.2000000000003</v>
      </c>
      <c r="M341" s="7">
        <f t="shared" si="81"/>
        <v>0</v>
      </c>
      <c r="N341" s="36">
        <f t="shared" si="70"/>
        <v>3127.2000000000003</v>
      </c>
      <c r="O341" s="7">
        <f t="shared" si="81"/>
        <v>0</v>
      </c>
      <c r="P341" s="36">
        <f t="shared" si="66"/>
        <v>3127.2000000000003</v>
      </c>
      <c r="Q341" s="7">
        <f t="shared" si="81"/>
        <v>0</v>
      </c>
      <c r="R341" s="36">
        <f t="shared" si="67"/>
        <v>3127.2000000000003</v>
      </c>
    </row>
    <row r="342" spans="1:18" ht="19.5" customHeight="1">
      <c r="A342" s="62" t="str">
        <f ca="1">IF(ISERROR(MATCH(C342,Код_Раздел,0)),"",INDIRECT(ADDRESS(MATCH(C342,Код_Раздел,0)+1,2,,,"Раздел")))</f>
        <v>Культура, кинематография</v>
      </c>
      <c r="B342" s="44" t="s">
        <v>509</v>
      </c>
      <c r="C342" s="8" t="s">
        <v>230</v>
      </c>
      <c r="D342" s="1"/>
      <c r="E342" s="115"/>
      <c r="F342" s="7">
        <f t="shared" si="81"/>
        <v>3129.4</v>
      </c>
      <c r="G342" s="7">
        <f t="shared" si="81"/>
        <v>0</v>
      </c>
      <c r="H342" s="36">
        <f t="shared" si="74"/>
        <v>3129.4</v>
      </c>
      <c r="I342" s="7">
        <f t="shared" si="81"/>
        <v>0</v>
      </c>
      <c r="J342" s="36">
        <f t="shared" si="72"/>
        <v>3129.4</v>
      </c>
      <c r="K342" s="7">
        <f t="shared" si="81"/>
        <v>-2.2</v>
      </c>
      <c r="L342" s="36">
        <f t="shared" si="69"/>
        <v>3127.2000000000003</v>
      </c>
      <c r="M342" s="7">
        <f t="shared" si="81"/>
        <v>0</v>
      </c>
      <c r="N342" s="36">
        <f t="shared" si="70"/>
        <v>3127.2000000000003</v>
      </c>
      <c r="O342" s="7">
        <f t="shared" si="81"/>
        <v>0</v>
      </c>
      <c r="P342" s="36">
        <f t="shared" si="66"/>
        <v>3127.2000000000003</v>
      </c>
      <c r="Q342" s="7">
        <f t="shared" si="81"/>
        <v>0</v>
      </c>
      <c r="R342" s="36">
        <f t="shared" si="67"/>
        <v>3127.2000000000003</v>
      </c>
    </row>
    <row r="343" spans="1:18" ht="22.5" customHeight="1">
      <c r="A343" s="12" t="s">
        <v>192</v>
      </c>
      <c r="B343" s="44" t="s">
        <v>509</v>
      </c>
      <c r="C343" s="8" t="s">
        <v>230</v>
      </c>
      <c r="D343" s="1" t="s">
        <v>221</v>
      </c>
      <c r="E343" s="115"/>
      <c r="F343" s="7">
        <f t="shared" si="81"/>
        <v>3129.4</v>
      </c>
      <c r="G343" s="7">
        <f t="shared" si="81"/>
        <v>0</v>
      </c>
      <c r="H343" s="36">
        <f t="shared" si="74"/>
        <v>3129.4</v>
      </c>
      <c r="I343" s="7">
        <f t="shared" si="81"/>
        <v>0</v>
      </c>
      <c r="J343" s="36">
        <f t="shared" si="72"/>
        <v>3129.4</v>
      </c>
      <c r="K343" s="7">
        <f t="shared" si="81"/>
        <v>-2.2</v>
      </c>
      <c r="L343" s="36">
        <f t="shared" si="69"/>
        <v>3127.2000000000003</v>
      </c>
      <c r="M343" s="7">
        <f t="shared" si="81"/>
        <v>0</v>
      </c>
      <c r="N343" s="36">
        <f t="shared" si="70"/>
        <v>3127.2000000000003</v>
      </c>
      <c r="O343" s="7">
        <f t="shared" si="81"/>
        <v>0</v>
      </c>
      <c r="P343" s="36">
        <f t="shared" si="66"/>
        <v>3127.2000000000003</v>
      </c>
      <c r="Q343" s="7">
        <f t="shared" si="81"/>
        <v>0</v>
      </c>
      <c r="R343" s="36">
        <f t="shared" si="67"/>
        <v>3127.2000000000003</v>
      </c>
    </row>
    <row r="344" spans="1:18" ht="36.75" customHeight="1">
      <c r="A344" s="62" t="str">
        <f ca="1">IF(ISERROR(MATCH(E344,Код_КВР,0)),"",INDIRECT(ADDRESS(MATCH(E344,Код_КВР,0)+1,2,,,"КВР")))</f>
        <v>Предоставление субсидий бюджетным, автономным учреждениям и иным некоммерческим организациям</v>
      </c>
      <c r="B344" s="44" t="s">
        <v>509</v>
      </c>
      <c r="C344" s="8" t="s">
        <v>230</v>
      </c>
      <c r="D344" s="1" t="s">
        <v>221</v>
      </c>
      <c r="E344" s="115">
        <v>600</v>
      </c>
      <c r="F344" s="7">
        <f t="shared" si="81"/>
        <v>3129.4</v>
      </c>
      <c r="G344" s="7">
        <f t="shared" si="81"/>
        <v>0</v>
      </c>
      <c r="H344" s="36">
        <f t="shared" si="74"/>
        <v>3129.4</v>
      </c>
      <c r="I344" s="7">
        <f t="shared" si="81"/>
        <v>0</v>
      </c>
      <c r="J344" s="36">
        <f t="shared" si="72"/>
        <v>3129.4</v>
      </c>
      <c r="K344" s="7">
        <f t="shared" si="81"/>
        <v>-2.2</v>
      </c>
      <c r="L344" s="36">
        <f t="shared" si="69"/>
        <v>3127.2000000000003</v>
      </c>
      <c r="M344" s="7">
        <f t="shared" si="81"/>
        <v>0</v>
      </c>
      <c r="N344" s="36">
        <f t="shared" si="70"/>
        <v>3127.2000000000003</v>
      </c>
      <c r="O344" s="7">
        <f t="shared" si="81"/>
        <v>0</v>
      </c>
      <c r="P344" s="36">
        <f t="shared" si="66"/>
        <v>3127.2000000000003</v>
      </c>
      <c r="Q344" s="7">
        <f t="shared" si="81"/>
        <v>0</v>
      </c>
      <c r="R344" s="36">
        <f t="shared" si="67"/>
        <v>3127.2000000000003</v>
      </c>
    </row>
    <row r="345" spans="1:18" ht="22.5" customHeight="1">
      <c r="A345" s="62" t="str">
        <f ca="1">IF(ISERROR(MATCH(E345,Код_КВР,0)),"",INDIRECT(ADDRESS(MATCH(E345,Код_КВР,0)+1,2,,,"КВР")))</f>
        <v>Субсидии бюджетным учреждениям</v>
      </c>
      <c r="B345" s="44" t="s">
        <v>509</v>
      </c>
      <c r="C345" s="8" t="s">
        <v>230</v>
      </c>
      <c r="D345" s="1" t="s">
        <v>221</v>
      </c>
      <c r="E345" s="115">
        <v>610</v>
      </c>
      <c r="F345" s="7">
        <f t="shared" si="81"/>
        <v>3129.4</v>
      </c>
      <c r="G345" s="7">
        <f t="shared" si="81"/>
        <v>0</v>
      </c>
      <c r="H345" s="36">
        <f t="shared" si="74"/>
        <v>3129.4</v>
      </c>
      <c r="I345" s="7">
        <f t="shared" si="81"/>
        <v>0</v>
      </c>
      <c r="J345" s="36">
        <f t="shared" si="72"/>
        <v>3129.4</v>
      </c>
      <c r="K345" s="7">
        <f t="shared" si="81"/>
        <v>-2.2</v>
      </c>
      <c r="L345" s="36">
        <f t="shared" si="69"/>
        <v>3127.2000000000003</v>
      </c>
      <c r="M345" s="7">
        <f t="shared" si="81"/>
        <v>0</v>
      </c>
      <c r="N345" s="36">
        <f t="shared" si="70"/>
        <v>3127.2000000000003</v>
      </c>
      <c r="O345" s="7">
        <f t="shared" si="81"/>
        <v>0</v>
      </c>
      <c r="P345" s="36">
        <f t="shared" si="66"/>
        <v>3127.2000000000003</v>
      </c>
      <c r="Q345" s="7">
        <f t="shared" si="81"/>
        <v>0</v>
      </c>
      <c r="R345" s="36">
        <f t="shared" si="67"/>
        <v>3127.2000000000003</v>
      </c>
    </row>
    <row r="346" spans="1:18" ht="51.75" customHeight="1">
      <c r="A346" s="62" t="str">
        <f ca="1">IF(ISERROR(MATCH(E346,Код_КВР,0)),"",INDIRECT(ADDRESS(MATCH(E346,Код_КВР,0)+1,2,,,"КВР")))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6" s="44" t="s">
        <v>509</v>
      </c>
      <c r="C346" s="8" t="s">
        <v>230</v>
      </c>
      <c r="D346" s="1" t="s">
        <v>221</v>
      </c>
      <c r="E346" s="115">
        <v>611</v>
      </c>
      <c r="F346" s="7">
        <f>'прил.5'!G999</f>
        <v>3129.4</v>
      </c>
      <c r="G346" s="7">
        <f>'прил.5'!H999</f>
        <v>0</v>
      </c>
      <c r="H346" s="36">
        <f t="shared" si="74"/>
        <v>3129.4</v>
      </c>
      <c r="I346" s="7">
        <f>'прил.5'!J999</f>
        <v>0</v>
      </c>
      <c r="J346" s="36">
        <f t="shared" si="72"/>
        <v>3129.4</v>
      </c>
      <c r="K346" s="7">
        <f>'прил.5'!L999</f>
        <v>-2.2</v>
      </c>
      <c r="L346" s="36">
        <f t="shared" si="69"/>
        <v>3127.2000000000003</v>
      </c>
      <c r="M346" s="7">
        <f>'прил.5'!N999</f>
        <v>0</v>
      </c>
      <c r="N346" s="36">
        <f t="shared" si="70"/>
        <v>3127.2000000000003</v>
      </c>
      <c r="O346" s="7">
        <f>'прил.5'!P999</f>
        <v>0</v>
      </c>
      <c r="P346" s="36">
        <f t="shared" si="66"/>
        <v>3127.2000000000003</v>
      </c>
      <c r="Q346" s="7">
        <f>'прил.5'!R999</f>
        <v>0</v>
      </c>
      <c r="R346" s="36">
        <f t="shared" si="67"/>
        <v>3127.2000000000003</v>
      </c>
    </row>
    <row r="347" spans="1:18" ht="21" customHeight="1">
      <c r="A347" s="62" t="str">
        <f ca="1">IF(ISERROR(MATCH(B347,Код_КЦСР,0)),"",INDIRECT(ADDRESS(MATCH(B347,Код_КЦСР,0)+1,2,,,"КЦСР")))</f>
        <v>Развитие исполнительских искусств</v>
      </c>
      <c r="B347" s="44" t="s">
        <v>511</v>
      </c>
      <c r="C347" s="8"/>
      <c r="D347" s="1"/>
      <c r="E347" s="115"/>
      <c r="F347" s="7">
        <f>F348+F354+F362</f>
        <v>102326.7</v>
      </c>
      <c r="G347" s="7">
        <f>G348+G354+G362</f>
        <v>0</v>
      </c>
      <c r="H347" s="36">
        <f t="shared" si="74"/>
        <v>102326.7</v>
      </c>
      <c r="I347" s="7">
        <f>I348+I354+I362</f>
        <v>-512.8</v>
      </c>
      <c r="J347" s="36">
        <f t="shared" si="72"/>
        <v>101813.9</v>
      </c>
      <c r="K347" s="7">
        <f>K348+K354+K362</f>
        <v>-72.9</v>
      </c>
      <c r="L347" s="36">
        <f t="shared" si="69"/>
        <v>101741</v>
      </c>
      <c r="M347" s="7">
        <f>M348+M354+M362</f>
        <v>0</v>
      </c>
      <c r="N347" s="36">
        <f t="shared" si="70"/>
        <v>101741</v>
      </c>
      <c r="O347" s="7">
        <f>O348+O354+O362</f>
        <v>140.2</v>
      </c>
      <c r="P347" s="36">
        <f aca="true" t="shared" si="82" ref="P347:P422">N347+O347</f>
        <v>101881.2</v>
      </c>
      <c r="Q347" s="7">
        <f>Q348+Q354+Q362</f>
        <v>-8874.4</v>
      </c>
      <c r="R347" s="36">
        <f aca="true" t="shared" si="83" ref="R347:R422">P347+Q347</f>
        <v>93006.8</v>
      </c>
    </row>
    <row r="348" spans="1:18" ht="69.75" customHeight="1">
      <c r="A348" s="62" t="str">
        <f ca="1">IF(ISERROR(MATCH(B348,Код_КЦСР,0)),"",INDIRECT(ADDRESS(MATCH(B348,Код_КЦСР,0)+1,2,,,"КЦСР")))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48" s="44" t="s">
        <v>513</v>
      </c>
      <c r="C348" s="8"/>
      <c r="D348" s="1"/>
      <c r="E348" s="115"/>
      <c r="F348" s="7">
        <f aca="true" t="shared" si="84" ref="F348:Q352">F349</f>
        <v>612</v>
      </c>
      <c r="G348" s="7">
        <f t="shared" si="84"/>
        <v>0</v>
      </c>
      <c r="H348" s="36">
        <f t="shared" si="74"/>
        <v>612</v>
      </c>
      <c r="I348" s="7">
        <f t="shared" si="84"/>
        <v>0</v>
      </c>
      <c r="J348" s="36">
        <f t="shared" si="72"/>
        <v>612</v>
      </c>
      <c r="K348" s="7">
        <f t="shared" si="84"/>
        <v>0</v>
      </c>
      <c r="L348" s="36">
        <f t="shared" si="69"/>
        <v>612</v>
      </c>
      <c r="M348" s="7">
        <f t="shared" si="84"/>
        <v>0</v>
      </c>
      <c r="N348" s="36">
        <f t="shared" si="70"/>
        <v>612</v>
      </c>
      <c r="O348" s="7">
        <f t="shared" si="84"/>
        <v>0</v>
      </c>
      <c r="P348" s="36">
        <f t="shared" si="82"/>
        <v>612</v>
      </c>
      <c r="Q348" s="7">
        <f t="shared" si="84"/>
        <v>0</v>
      </c>
      <c r="R348" s="36">
        <f t="shared" si="83"/>
        <v>612</v>
      </c>
    </row>
    <row r="349" spans="1:18" ht="20.25" customHeight="1">
      <c r="A349" s="62" t="str">
        <f ca="1">IF(ISERROR(MATCH(C349,Код_Раздел,0)),"",INDIRECT(ADDRESS(MATCH(C349,Код_Раздел,0)+1,2,,,"Раздел")))</f>
        <v>Культура, кинематография</v>
      </c>
      <c r="B349" s="44" t="s">
        <v>513</v>
      </c>
      <c r="C349" s="8" t="s">
        <v>230</v>
      </c>
      <c r="D349" s="1"/>
      <c r="E349" s="115"/>
      <c r="F349" s="7">
        <f t="shared" si="84"/>
        <v>612</v>
      </c>
      <c r="G349" s="7">
        <f t="shared" si="84"/>
        <v>0</v>
      </c>
      <c r="H349" s="36">
        <f t="shared" si="74"/>
        <v>612</v>
      </c>
      <c r="I349" s="7">
        <f t="shared" si="84"/>
        <v>0</v>
      </c>
      <c r="J349" s="36">
        <f t="shared" si="72"/>
        <v>612</v>
      </c>
      <c r="K349" s="7">
        <f t="shared" si="84"/>
        <v>0</v>
      </c>
      <c r="L349" s="36">
        <f t="shared" si="69"/>
        <v>612</v>
      </c>
      <c r="M349" s="7">
        <f t="shared" si="84"/>
        <v>0</v>
      </c>
      <c r="N349" s="36">
        <f t="shared" si="70"/>
        <v>612</v>
      </c>
      <c r="O349" s="7">
        <f t="shared" si="84"/>
        <v>0</v>
      </c>
      <c r="P349" s="36">
        <f t="shared" si="82"/>
        <v>612</v>
      </c>
      <c r="Q349" s="7">
        <f t="shared" si="84"/>
        <v>0</v>
      </c>
      <c r="R349" s="36">
        <f t="shared" si="83"/>
        <v>612</v>
      </c>
    </row>
    <row r="350" spans="1:18" ht="18.75" customHeight="1">
      <c r="A350" s="12" t="s">
        <v>171</v>
      </c>
      <c r="B350" s="44" t="s">
        <v>513</v>
      </c>
      <c r="C350" s="8" t="s">
        <v>230</v>
      </c>
      <c r="D350" s="1" t="s">
        <v>224</v>
      </c>
      <c r="E350" s="115"/>
      <c r="F350" s="7">
        <f t="shared" si="84"/>
        <v>612</v>
      </c>
      <c r="G350" s="7">
        <f t="shared" si="84"/>
        <v>0</v>
      </c>
      <c r="H350" s="36">
        <f t="shared" si="74"/>
        <v>612</v>
      </c>
      <c r="I350" s="7">
        <f t="shared" si="84"/>
        <v>0</v>
      </c>
      <c r="J350" s="36">
        <f t="shared" si="72"/>
        <v>612</v>
      </c>
      <c r="K350" s="7">
        <f t="shared" si="84"/>
        <v>0</v>
      </c>
      <c r="L350" s="36">
        <f t="shared" si="69"/>
        <v>612</v>
      </c>
      <c r="M350" s="7">
        <f t="shared" si="84"/>
        <v>0</v>
      </c>
      <c r="N350" s="36">
        <f t="shared" si="70"/>
        <v>612</v>
      </c>
      <c r="O350" s="7">
        <f t="shared" si="84"/>
        <v>0</v>
      </c>
      <c r="P350" s="36">
        <f t="shared" si="82"/>
        <v>612</v>
      </c>
      <c r="Q350" s="7">
        <f t="shared" si="84"/>
        <v>0</v>
      </c>
      <c r="R350" s="36">
        <f t="shared" si="83"/>
        <v>612</v>
      </c>
    </row>
    <row r="351" spans="1:18" ht="35.25" customHeight="1">
      <c r="A351" s="62" t="str">
        <f ca="1">IF(ISERROR(MATCH(E351,Код_КВР,0)),"",INDIRECT(ADDRESS(MATCH(E351,Код_КВР,0)+1,2,,,"КВР")))</f>
        <v>Предоставление субсидий бюджетным, автономным учреждениям и иным некоммерческим организациям</v>
      </c>
      <c r="B351" s="44" t="s">
        <v>513</v>
      </c>
      <c r="C351" s="8" t="s">
        <v>230</v>
      </c>
      <c r="D351" s="1" t="s">
        <v>224</v>
      </c>
      <c r="E351" s="115">
        <v>600</v>
      </c>
      <c r="F351" s="7">
        <f t="shared" si="84"/>
        <v>612</v>
      </c>
      <c r="G351" s="7">
        <f t="shared" si="84"/>
        <v>0</v>
      </c>
      <c r="H351" s="36">
        <f t="shared" si="74"/>
        <v>612</v>
      </c>
      <c r="I351" s="7">
        <f t="shared" si="84"/>
        <v>0</v>
      </c>
      <c r="J351" s="36">
        <f t="shared" si="72"/>
        <v>612</v>
      </c>
      <c r="K351" s="7">
        <f t="shared" si="84"/>
        <v>0</v>
      </c>
      <c r="L351" s="36">
        <f t="shared" si="69"/>
        <v>612</v>
      </c>
      <c r="M351" s="7">
        <f t="shared" si="84"/>
        <v>0</v>
      </c>
      <c r="N351" s="36">
        <f t="shared" si="70"/>
        <v>612</v>
      </c>
      <c r="O351" s="7">
        <f t="shared" si="84"/>
        <v>0</v>
      </c>
      <c r="P351" s="36">
        <f t="shared" si="82"/>
        <v>612</v>
      </c>
      <c r="Q351" s="7">
        <f t="shared" si="84"/>
        <v>0</v>
      </c>
      <c r="R351" s="36">
        <f t="shared" si="83"/>
        <v>612</v>
      </c>
    </row>
    <row r="352" spans="1:18" ht="19.5" customHeight="1">
      <c r="A352" s="62" t="str">
        <f ca="1">IF(ISERROR(MATCH(E352,Код_КВР,0)),"",INDIRECT(ADDRESS(MATCH(E352,Код_КВР,0)+1,2,,,"КВР")))</f>
        <v>Субсидии автономным учреждениям</v>
      </c>
      <c r="B352" s="44" t="s">
        <v>513</v>
      </c>
      <c r="C352" s="8" t="s">
        <v>230</v>
      </c>
      <c r="D352" s="1" t="s">
        <v>224</v>
      </c>
      <c r="E352" s="115">
        <v>620</v>
      </c>
      <c r="F352" s="7">
        <f t="shared" si="84"/>
        <v>612</v>
      </c>
      <c r="G352" s="7">
        <f t="shared" si="84"/>
        <v>0</v>
      </c>
      <c r="H352" s="36">
        <f t="shared" si="74"/>
        <v>612</v>
      </c>
      <c r="I352" s="7">
        <f t="shared" si="84"/>
        <v>0</v>
      </c>
      <c r="J352" s="36">
        <f t="shared" si="72"/>
        <v>612</v>
      </c>
      <c r="K352" s="7">
        <f t="shared" si="84"/>
        <v>0</v>
      </c>
      <c r="L352" s="36">
        <f t="shared" si="69"/>
        <v>612</v>
      </c>
      <c r="M352" s="7">
        <f t="shared" si="84"/>
        <v>0</v>
      </c>
      <c r="N352" s="36">
        <f t="shared" si="70"/>
        <v>612</v>
      </c>
      <c r="O352" s="7">
        <f t="shared" si="84"/>
        <v>0</v>
      </c>
      <c r="P352" s="36">
        <f t="shared" si="82"/>
        <v>612</v>
      </c>
      <c r="Q352" s="7">
        <f t="shared" si="84"/>
        <v>0</v>
      </c>
      <c r="R352" s="36">
        <f t="shared" si="83"/>
        <v>612</v>
      </c>
    </row>
    <row r="353" spans="1:18" ht="20.25" customHeight="1">
      <c r="A353" s="62" t="str">
        <f ca="1">IF(ISERROR(MATCH(E353,Код_КВР,0)),"",INDIRECT(ADDRESS(MATCH(E353,Код_КВР,0)+1,2,,,"КВР")))</f>
        <v>Субсидии автономным учреждениям на иные цели</v>
      </c>
      <c r="B353" s="44" t="s">
        <v>513</v>
      </c>
      <c r="C353" s="8" t="s">
        <v>230</v>
      </c>
      <c r="D353" s="1" t="s">
        <v>224</v>
      </c>
      <c r="E353" s="115">
        <v>622</v>
      </c>
      <c r="F353" s="7">
        <f>'прил.5'!G1061</f>
        <v>612</v>
      </c>
      <c r="G353" s="7">
        <f>'прил.5'!H1061</f>
        <v>0</v>
      </c>
      <c r="H353" s="36">
        <f t="shared" si="74"/>
        <v>612</v>
      </c>
      <c r="I353" s="7">
        <f>'прил.5'!J1061</f>
        <v>0</v>
      </c>
      <c r="J353" s="36">
        <f t="shared" si="72"/>
        <v>612</v>
      </c>
      <c r="K353" s="7">
        <f>'прил.5'!L1061</f>
        <v>0</v>
      </c>
      <c r="L353" s="36">
        <f t="shared" si="69"/>
        <v>612</v>
      </c>
      <c r="M353" s="7">
        <f>'прил.5'!N1061</f>
        <v>0</v>
      </c>
      <c r="N353" s="36">
        <f t="shared" si="70"/>
        <v>612</v>
      </c>
      <c r="O353" s="7">
        <f>'прил.5'!P1061</f>
        <v>0</v>
      </c>
      <c r="P353" s="36">
        <f t="shared" si="82"/>
        <v>612</v>
      </c>
      <c r="Q353" s="7">
        <f>'прил.5'!R1061</f>
        <v>0</v>
      </c>
      <c r="R353" s="36">
        <f t="shared" si="83"/>
        <v>612</v>
      </c>
    </row>
    <row r="354" spans="1:18" ht="52.7" customHeight="1">
      <c r="A354" s="62" t="str">
        <f ca="1">IF(ISERROR(MATCH(B354,Код_КЦСР,0)),"",INDIRECT(ADDRESS(MATCH(B354,Код_КЦСР,0)+1,2,,,"КЦСР")))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54" s="44" t="s">
        <v>514</v>
      </c>
      <c r="C354" s="8"/>
      <c r="D354" s="1"/>
      <c r="E354" s="115"/>
      <c r="F354" s="7">
        <f aca="true" t="shared" si="85" ref="F354:Q356">F355</f>
        <v>1300</v>
      </c>
      <c r="G354" s="7">
        <f t="shared" si="85"/>
        <v>0</v>
      </c>
      <c r="H354" s="36">
        <f t="shared" si="74"/>
        <v>1300</v>
      </c>
      <c r="I354" s="7">
        <f t="shared" si="85"/>
        <v>0</v>
      </c>
      <c r="J354" s="36">
        <f t="shared" si="72"/>
        <v>1300</v>
      </c>
      <c r="K354" s="7">
        <f t="shared" si="85"/>
        <v>0</v>
      </c>
      <c r="L354" s="36">
        <f t="shared" si="69"/>
        <v>1300</v>
      </c>
      <c r="M354" s="7">
        <f t="shared" si="85"/>
        <v>0</v>
      </c>
      <c r="N354" s="36">
        <f t="shared" si="70"/>
        <v>1300</v>
      </c>
      <c r="O354" s="7">
        <f t="shared" si="85"/>
        <v>0</v>
      </c>
      <c r="P354" s="36">
        <f t="shared" si="82"/>
        <v>1300</v>
      </c>
      <c r="Q354" s="7">
        <f t="shared" si="85"/>
        <v>0</v>
      </c>
      <c r="R354" s="36">
        <f t="shared" si="83"/>
        <v>1300</v>
      </c>
    </row>
    <row r="355" spans="1:18" ht="22.5" customHeight="1">
      <c r="A355" s="62" t="str">
        <f ca="1">IF(ISERROR(MATCH(C355,Код_Раздел,0)),"",INDIRECT(ADDRESS(MATCH(C355,Код_Раздел,0)+1,2,,,"Раздел")))</f>
        <v>Культура, кинематография</v>
      </c>
      <c r="B355" s="44" t="s">
        <v>514</v>
      </c>
      <c r="C355" s="8" t="s">
        <v>230</v>
      </c>
      <c r="D355" s="1"/>
      <c r="E355" s="115"/>
      <c r="F355" s="7">
        <f t="shared" si="85"/>
        <v>1300</v>
      </c>
      <c r="G355" s="7">
        <f t="shared" si="85"/>
        <v>0</v>
      </c>
      <c r="H355" s="36">
        <f t="shared" si="74"/>
        <v>1300</v>
      </c>
      <c r="I355" s="7">
        <f t="shared" si="85"/>
        <v>0</v>
      </c>
      <c r="J355" s="36">
        <f t="shared" si="72"/>
        <v>1300</v>
      </c>
      <c r="K355" s="7">
        <f t="shared" si="85"/>
        <v>0</v>
      </c>
      <c r="L355" s="36">
        <f aca="true" t="shared" si="86" ref="L355:L430">J355+K355</f>
        <v>1300</v>
      </c>
      <c r="M355" s="7">
        <f t="shared" si="85"/>
        <v>0</v>
      </c>
      <c r="N355" s="36">
        <f aca="true" t="shared" si="87" ref="N355:N430">L355+M355</f>
        <v>1300</v>
      </c>
      <c r="O355" s="7">
        <f t="shared" si="85"/>
        <v>0</v>
      </c>
      <c r="P355" s="36">
        <f t="shared" si="82"/>
        <v>1300</v>
      </c>
      <c r="Q355" s="7">
        <f t="shared" si="85"/>
        <v>0</v>
      </c>
      <c r="R355" s="36">
        <f t="shared" si="83"/>
        <v>1300</v>
      </c>
    </row>
    <row r="356" spans="1:18" ht="20.25" customHeight="1">
      <c r="A356" s="12" t="s">
        <v>171</v>
      </c>
      <c r="B356" s="44" t="s">
        <v>514</v>
      </c>
      <c r="C356" s="8" t="s">
        <v>230</v>
      </c>
      <c r="D356" s="1" t="s">
        <v>224</v>
      </c>
      <c r="E356" s="115"/>
      <c r="F356" s="7">
        <f t="shared" si="85"/>
        <v>1300</v>
      </c>
      <c r="G356" s="7">
        <f t="shared" si="85"/>
        <v>0</v>
      </c>
      <c r="H356" s="36">
        <f t="shared" si="74"/>
        <v>1300</v>
      </c>
      <c r="I356" s="7">
        <f t="shared" si="85"/>
        <v>0</v>
      </c>
      <c r="J356" s="36">
        <f t="shared" si="72"/>
        <v>1300</v>
      </c>
      <c r="K356" s="7">
        <f t="shared" si="85"/>
        <v>0</v>
      </c>
      <c r="L356" s="36">
        <f t="shared" si="86"/>
        <v>1300</v>
      </c>
      <c r="M356" s="7">
        <f t="shared" si="85"/>
        <v>0</v>
      </c>
      <c r="N356" s="36">
        <f t="shared" si="87"/>
        <v>1300</v>
      </c>
      <c r="O356" s="7">
        <f t="shared" si="85"/>
        <v>0</v>
      </c>
      <c r="P356" s="36">
        <f t="shared" si="82"/>
        <v>1300</v>
      </c>
      <c r="Q356" s="7">
        <f t="shared" si="85"/>
        <v>0</v>
      </c>
      <c r="R356" s="36">
        <f t="shared" si="83"/>
        <v>1300</v>
      </c>
    </row>
    <row r="357" spans="1:18" ht="33.75" customHeight="1">
      <c r="A357" s="62" t="str">
        <f ca="1">IF(ISERROR(MATCH(E357,Код_КВР,0)),"",INDIRECT(ADDRESS(MATCH(E357,Код_КВР,0)+1,2,,,"КВР")))</f>
        <v>Предоставление субсидий бюджетным, автономным учреждениям и иным некоммерческим организациям</v>
      </c>
      <c r="B357" s="44" t="s">
        <v>514</v>
      </c>
      <c r="C357" s="8" t="s">
        <v>230</v>
      </c>
      <c r="D357" s="1" t="s">
        <v>224</v>
      </c>
      <c r="E357" s="115">
        <v>600</v>
      </c>
      <c r="F357" s="7">
        <f>F358+F360</f>
        <v>1300</v>
      </c>
      <c r="G357" s="7">
        <f>G358+G360</f>
        <v>0</v>
      </c>
      <c r="H357" s="36">
        <f t="shared" si="74"/>
        <v>1300</v>
      </c>
      <c r="I357" s="7">
        <f>I358+I360</f>
        <v>0</v>
      </c>
      <c r="J357" s="36">
        <f aca="true" t="shared" si="88" ref="J357:J432">H357+I357</f>
        <v>1300</v>
      </c>
      <c r="K357" s="7">
        <f>K358+K360</f>
        <v>0</v>
      </c>
      <c r="L357" s="36">
        <f t="shared" si="86"/>
        <v>1300</v>
      </c>
      <c r="M357" s="7">
        <f>M358+M360</f>
        <v>0</v>
      </c>
      <c r="N357" s="36">
        <f t="shared" si="87"/>
        <v>1300</v>
      </c>
      <c r="O357" s="7">
        <f>O358+O360</f>
        <v>0</v>
      </c>
      <c r="P357" s="36">
        <f t="shared" si="82"/>
        <v>1300</v>
      </c>
      <c r="Q357" s="7">
        <f>Q358+Q360</f>
        <v>0</v>
      </c>
      <c r="R357" s="36">
        <f t="shared" si="83"/>
        <v>1300</v>
      </c>
    </row>
    <row r="358" spans="1:18" ht="12.75">
      <c r="A358" s="62" t="str">
        <f ca="1">IF(ISERROR(MATCH(E358,Код_КВР,0)),"",INDIRECT(ADDRESS(MATCH(E358,Код_КВР,0)+1,2,,,"КВР")))</f>
        <v>Субсидии бюджетным учреждениям</v>
      </c>
      <c r="B358" s="44" t="s">
        <v>514</v>
      </c>
      <c r="C358" s="8" t="s">
        <v>230</v>
      </c>
      <c r="D358" s="1" t="s">
        <v>224</v>
      </c>
      <c r="E358" s="115">
        <v>610</v>
      </c>
      <c r="F358" s="7">
        <f>F359</f>
        <v>200</v>
      </c>
      <c r="G358" s="7">
        <f>G359</f>
        <v>0</v>
      </c>
      <c r="H358" s="36">
        <f t="shared" si="74"/>
        <v>200</v>
      </c>
      <c r="I358" s="7">
        <f>I359</f>
        <v>0</v>
      </c>
      <c r="J358" s="36">
        <f t="shared" si="88"/>
        <v>200</v>
      </c>
      <c r="K358" s="7">
        <f>K359</f>
        <v>0</v>
      </c>
      <c r="L358" s="36">
        <f t="shared" si="86"/>
        <v>200</v>
      </c>
      <c r="M358" s="7">
        <f>M359</f>
        <v>0</v>
      </c>
      <c r="N358" s="36">
        <f t="shared" si="87"/>
        <v>200</v>
      </c>
      <c r="O358" s="7">
        <f>O359</f>
        <v>0</v>
      </c>
      <c r="P358" s="36">
        <f t="shared" si="82"/>
        <v>200</v>
      </c>
      <c r="Q358" s="7">
        <f>Q359</f>
        <v>0</v>
      </c>
      <c r="R358" s="36">
        <f t="shared" si="83"/>
        <v>200</v>
      </c>
    </row>
    <row r="359" spans="1:18" ht="19.5" customHeight="1">
      <c r="A359" s="62" t="str">
        <f ca="1">IF(ISERROR(MATCH(E359,Код_КВР,0)),"",INDIRECT(ADDRESS(MATCH(E359,Код_КВР,0)+1,2,,,"КВР")))</f>
        <v>Субсидии бюджетным учреждениям на иные цели</v>
      </c>
      <c r="B359" s="44" t="s">
        <v>514</v>
      </c>
      <c r="C359" s="8" t="s">
        <v>230</v>
      </c>
      <c r="D359" s="1" t="s">
        <v>224</v>
      </c>
      <c r="E359" s="115">
        <v>612</v>
      </c>
      <c r="F359" s="7">
        <f>'прил.5'!G1065</f>
        <v>200</v>
      </c>
      <c r="G359" s="7">
        <f>'прил.5'!H1065</f>
        <v>0</v>
      </c>
      <c r="H359" s="36">
        <f t="shared" si="74"/>
        <v>200</v>
      </c>
      <c r="I359" s="7">
        <f>'прил.5'!J1065</f>
        <v>0</v>
      </c>
      <c r="J359" s="36">
        <f t="shared" si="88"/>
        <v>200</v>
      </c>
      <c r="K359" s="7">
        <f>'прил.5'!L1065</f>
        <v>0</v>
      </c>
      <c r="L359" s="36">
        <f t="shared" si="86"/>
        <v>200</v>
      </c>
      <c r="M359" s="7">
        <f>'прил.5'!N1065</f>
        <v>0</v>
      </c>
      <c r="N359" s="36">
        <f t="shared" si="87"/>
        <v>200</v>
      </c>
      <c r="O359" s="7">
        <f>'прил.5'!P1065</f>
        <v>0</v>
      </c>
      <c r="P359" s="36">
        <f t="shared" si="82"/>
        <v>200</v>
      </c>
      <c r="Q359" s="7">
        <f>'прил.5'!R1065</f>
        <v>0</v>
      </c>
      <c r="R359" s="36">
        <f t="shared" si="83"/>
        <v>200</v>
      </c>
    </row>
    <row r="360" spans="1:18" ht="19.5" customHeight="1">
      <c r="A360" s="62" t="str">
        <f ca="1">IF(ISERROR(MATCH(E360,Код_КВР,0)),"",INDIRECT(ADDRESS(MATCH(E360,Код_КВР,0)+1,2,,,"КВР")))</f>
        <v>Субсидии автономным учреждениям</v>
      </c>
      <c r="B360" s="44" t="s">
        <v>514</v>
      </c>
      <c r="C360" s="8" t="s">
        <v>230</v>
      </c>
      <c r="D360" s="1" t="s">
        <v>224</v>
      </c>
      <c r="E360" s="115">
        <v>620</v>
      </c>
      <c r="F360" s="7">
        <f>F361</f>
        <v>1100</v>
      </c>
      <c r="G360" s="7">
        <f>G361</f>
        <v>0</v>
      </c>
      <c r="H360" s="36">
        <f t="shared" si="74"/>
        <v>1100</v>
      </c>
      <c r="I360" s="7">
        <f>I361</f>
        <v>0</v>
      </c>
      <c r="J360" s="36">
        <f t="shared" si="88"/>
        <v>1100</v>
      </c>
      <c r="K360" s="7">
        <f>K361</f>
        <v>0</v>
      </c>
      <c r="L360" s="36">
        <f t="shared" si="86"/>
        <v>1100</v>
      </c>
      <c r="M360" s="7">
        <f>M361</f>
        <v>0</v>
      </c>
      <c r="N360" s="36">
        <f t="shared" si="87"/>
        <v>1100</v>
      </c>
      <c r="O360" s="7">
        <f>O361</f>
        <v>0</v>
      </c>
      <c r="P360" s="36">
        <f t="shared" si="82"/>
        <v>1100</v>
      </c>
      <c r="Q360" s="7">
        <f>Q361</f>
        <v>0</v>
      </c>
      <c r="R360" s="36">
        <f t="shared" si="83"/>
        <v>1100</v>
      </c>
    </row>
    <row r="361" spans="1:18" ht="18.75" customHeight="1">
      <c r="A361" s="62" t="str">
        <f ca="1">IF(ISERROR(MATCH(E361,Код_КВР,0)),"",INDIRECT(ADDRESS(MATCH(E361,Код_КВР,0)+1,2,,,"КВР")))</f>
        <v>Субсидии автономным учреждениям на иные цели</v>
      </c>
      <c r="B361" s="44" t="s">
        <v>514</v>
      </c>
      <c r="C361" s="8" t="s">
        <v>230</v>
      </c>
      <c r="D361" s="1" t="s">
        <v>224</v>
      </c>
      <c r="E361" s="115">
        <v>622</v>
      </c>
      <c r="F361" s="7">
        <f>'прил.5'!G1067</f>
        <v>1100</v>
      </c>
      <c r="G361" s="7">
        <f>'прил.5'!H1067</f>
        <v>0</v>
      </c>
      <c r="H361" s="36">
        <f t="shared" si="74"/>
        <v>1100</v>
      </c>
      <c r="I361" s="7">
        <f>'прил.5'!J1067</f>
        <v>0</v>
      </c>
      <c r="J361" s="36">
        <f t="shared" si="88"/>
        <v>1100</v>
      </c>
      <c r="K361" s="7">
        <f>'прил.5'!L1067</f>
        <v>0</v>
      </c>
      <c r="L361" s="36">
        <f t="shared" si="86"/>
        <v>1100</v>
      </c>
      <c r="M361" s="7">
        <f>'прил.5'!N1067</f>
        <v>0</v>
      </c>
      <c r="N361" s="36">
        <f t="shared" si="87"/>
        <v>1100</v>
      </c>
      <c r="O361" s="7">
        <f>'прил.5'!P1067</f>
        <v>0</v>
      </c>
      <c r="P361" s="36">
        <f t="shared" si="82"/>
        <v>1100</v>
      </c>
      <c r="Q361" s="7">
        <f>'прил.5'!R1067</f>
        <v>0</v>
      </c>
      <c r="R361" s="36">
        <f t="shared" si="83"/>
        <v>1100</v>
      </c>
    </row>
    <row r="362" spans="1:18" ht="22.5" customHeight="1">
      <c r="A362" s="62" t="str">
        <f ca="1">IF(ISERROR(MATCH(B362,Код_КЦСР,0)),"",INDIRECT(ADDRESS(MATCH(B362,Код_КЦСР,0)+1,2,,,"КЦСР")))</f>
        <v>Оказание муниципальных услуг</v>
      </c>
      <c r="B362" s="44" t="s">
        <v>515</v>
      </c>
      <c r="C362" s="8"/>
      <c r="D362" s="1"/>
      <c r="E362" s="115"/>
      <c r="F362" s="7">
        <f aca="true" t="shared" si="89" ref="F362:Q364">F363</f>
        <v>100414.7</v>
      </c>
      <c r="G362" s="7">
        <f t="shared" si="89"/>
        <v>0</v>
      </c>
      <c r="H362" s="36">
        <f t="shared" si="74"/>
        <v>100414.7</v>
      </c>
      <c r="I362" s="7">
        <f t="shared" si="89"/>
        <v>-512.8</v>
      </c>
      <c r="J362" s="36">
        <f t="shared" si="88"/>
        <v>99901.9</v>
      </c>
      <c r="K362" s="7">
        <f t="shared" si="89"/>
        <v>-72.9</v>
      </c>
      <c r="L362" s="36">
        <f t="shared" si="86"/>
        <v>99829</v>
      </c>
      <c r="M362" s="7">
        <f t="shared" si="89"/>
        <v>0</v>
      </c>
      <c r="N362" s="36">
        <f t="shared" si="87"/>
        <v>99829</v>
      </c>
      <c r="O362" s="7">
        <f t="shared" si="89"/>
        <v>140.2</v>
      </c>
      <c r="P362" s="36">
        <f t="shared" si="82"/>
        <v>99969.2</v>
      </c>
      <c r="Q362" s="7">
        <f t="shared" si="89"/>
        <v>-8874.4</v>
      </c>
      <c r="R362" s="36">
        <f t="shared" si="83"/>
        <v>91094.8</v>
      </c>
    </row>
    <row r="363" spans="1:18" ht="18.75" customHeight="1">
      <c r="A363" s="62" t="str">
        <f ca="1">IF(ISERROR(MATCH(C363,Код_Раздел,0)),"",INDIRECT(ADDRESS(MATCH(C363,Код_Раздел,0)+1,2,,,"Раздел")))</f>
        <v>Культура, кинематография</v>
      </c>
      <c r="B363" s="44" t="s">
        <v>515</v>
      </c>
      <c r="C363" s="8" t="s">
        <v>230</v>
      </c>
      <c r="D363" s="1"/>
      <c r="E363" s="115"/>
      <c r="F363" s="7">
        <f t="shared" si="89"/>
        <v>100414.7</v>
      </c>
      <c r="G363" s="7">
        <f t="shared" si="89"/>
        <v>0</v>
      </c>
      <c r="H363" s="36">
        <f t="shared" si="74"/>
        <v>100414.7</v>
      </c>
      <c r="I363" s="7">
        <f t="shared" si="89"/>
        <v>-512.8</v>
      </c>
      <c r="J363" s="36">
        <f t="shared" si="88"/>
        <v>99901.9</v>
      </c>
      <c r="K363" s="7">
        <f t="shared" si="89"/>
        <v>-72.9</v>
      </c>
      <c r="L363" s="36">
        <f t="shared" si="86"/>
        <v>99829</v>
      </c>
      <c r="M363" s="7">
        <f t="shared" si="89"/>
        <v>0</v>
      </c>
      <c r="N363" s="36">
        <f t="shared" si="87"/>
        <v>99829</v>
      </c>
      <c r="O363" s="7">
        <f t="shared" si="89"/>
        <v>140.2</v>
      </c>
      <c r="P363" s="36">
        <f t="shared" si="82"/>
        <v>99969.2</v>
      </c>
      <c r="Q363" s="7">
        <f t="shared" si="89"/>
        <v>-8874.4</v>
      </c>
      <c r="R363" s="36">
        <f t="shared" si="83"/>
        <v>91094.8</v>
      </c>
    </row>
    <row r="364" spans="1:18" ht="18.75" customHeight="1">
      <c r="A364" s="12" t="s">
        <v>192</v>
      </c>
      <c r="B364" s="44" t="s">
        <v>515</v>
      </c>
      <c r="C364" s="8" t="s">
        <v>230</v>
      </c>
      <c r="D364" s="1" t="s">
        <v>221</v>
      </c>
      <c r="E364" s="115"/>
      <c r="F364" s="7">
        <f t="shared" si="89"/>
        <v>100414.7</v>
      </c>
      <c r="G364" s="7">
        <f t="shared" si="89"/>
        <v>0</v>
      </c>
      <c r="H364" s="36">
        <f t="shared" si="74"/>
        <v>100414.7</v>
      </c>
      <c r="I364" s="7">
        <f t="shared" si="89"/>
        <v>-512.8</v>
      </c>
      <c r="J364" s="36">
        <f t="shared" si="88"/>
        <v>99901.9</v>
      </c>
      <c r="K364" s="7">
        <f t="shared" si="89"/>
        <v>-72.9</v>
      </c>
      <c r="L364" s="36">
        <f t="shared" si="86"/>
        <v>99829</v>
      </c>
      <c r="M364" s="7">
        <f t="shared" si="89"/>
        <v>0</v>
      </c>
      <c r="N364" s="36">
        <f t="shared" si="87"/>
        <v>99829</v>
      </c>
      <c r="O364" s="7">
        <f t="shared" si="89"/>
        <v>140.2</v>
      </c>
      <c r="P364" s="36">
        <f t="shared" si="82"/>
        <v>99969.2</v>
      </c>
      <c r="Q364" s="7">
        <f t="shared" si="89"/>
        <v>-8874.4</v>
      </c>
      <c r="R364" s="36">
        <f t="shared" si="83"/>
        <v>91094.8</v>
      </c>
    </row>
    <row r="365" spans="1:18" ht="35.25" customHeight="1">
      <c r="A365" s="62" t="str">
        <f ca="1">IF(ISERROR(MATCH(E365,Код_КВР,0)),"",INDIRECT(ADDRESS(MATCH(E365,Код_КВР,0)+1,2,,,"КВР")))</f>
        <v>Предоставление субсидий бюджетным, автономным учреждениям и иным некоммерческим организациям</v>
      </c>
      <c r="B365" s="44" t="s">
        <v>515</v>
      </c>
      <c r="C365" s="8" t="s">
        <v>230</v>
      </c>
      <c r="D365" s="1" t="s">
        <v>221</v>
      </c>
      <c r="E365" s="115">
        <v>600</v>
      </c>
      <c r="F365" s="7">
        <f>F366+F368</f>
        <v>100414.7</v>
      </c>
      <c r="G365" s="7">
        <f>G366+G368</f>
        <v>0</v>
      </c>
      <c r="H365" s="36">
        <f aca="true" t="shared" si="90" ref="H365:H440">F365+G365</f>
        <v>100414.7</v>
      </c>
      <c r="I365" s="7">
        <f>I366+I368</f>
        <v>-512.8</v>
      </c>
      <c r="J365" s="36">
        <f t="shared" si="88"/>
        <v>99901.9</v>
      </c>
      <c r="K365" s="7">
        <f>K366+K368</f>
        <v>-72.9</v>
      </c>
      <c r="L365" s="36">
        <f t="shared" si="86"/>
        <v>99829</v>
      </c>
      <c r="M365" s="7">
        <f>M366+M368</f>
        <v>0</v>
      </c>
      <c r="N365" s="36">
        <f t="shared" si="87"/>
        <v>99829</v>
      </c>
      <c r="O365" s="7">
        <f>O366+O368</f>
        <v>140.2</v>
      </c>
      <c r="P365" s="36">
        <f t="shared" si="82"/>
        <v>99969.2</v>
      </c>
      <c r="Q365" s="7">
        <f>Q366+Q368</f>
        <v>-8874.4</v>
      </c>
      <c r="R365" s="36">
        <f t="shared" si="83"/>
        <v>91094.8</v>
      </c>
    </row>
    <row r="366" spans="1:18" ht="21" customHeight="1">
      <c r="A366" s="62" t="str">
        <f ca="1">IF(ISERROR(MATCH(E366,Код_КВР,0)),"",INDIRECT(ADDRESS(MATCH(E366,Код_КВР,0)+1,2,,,"КВР")))</f>
        <v>Субсидии бюджетным учреждениям</v>
      </c>
      <c r="B366" s="44" t="s">
        <v>515</v>
      </c>
      <c r="C366" s="8" t="s">
        <v>230</v>
      </c>
      <c r="D366" s="1" t="s">
        <v>221</v>
      </c>
      <c r="E366" s="115">
        <v>610</v>
      </c>
      <c r="F366" s="7">
        <f>F367</f>
        <v>88342.5</v>
      </c>
      <c r="G366" s="7">
        <f>G367</f>
        <v>0</v>
      </c>
      <c r="H366" s="36">
        <f t="shared" si="90"/>
        <v>88342.5</v>
      </c>
      <c r="I366" s="7">
        <f>I367</f>
        <v>-512.8</v>
      </c>
      <c r="J366" s="36">
        <f t="shared" si="88"/>
        <v>87829.7</v>
      </c>
      <c r="K366" s="7">
        <f>K367</f>
        <v>-50.9</v>
      </c>
      <c r="L366" s="36">
        <f t="shared" si="86"/>
        <v>87778.8</v>
      </c>
      <c r="M366" s="7">
        <f>M367</f>
        <v>0</v>
      </c>
      <c r="N366" s="36">
        <f t="shared" si="87"/>
        <v>87778.8</v>
      </c>
      <c r="O366" s="7">
        <f>O367</f>
        <v>140.2</v>
      </c>
      <c r="P366" s="36">
        <f t="shared" si="82"/>
        <v>87919</v>
      </c>
      <c r="Q366" s="7">
        <f>Q367</f>
        <v>-8874.4</v>
      </c>
      <c r="R366" s="36">
        <f t="shared" si="83"/>
        <v>79044.6</v>
      </c>
    </row>
    <row r="367" spans="1:18" ht="55.5" customHeight="1">
      <c r="A367" s="62" t="str">
        <f ca="1">IF(ISERROR(MATCH(E367,Код_КВР,0)),"",INDIRECT(ADDRESS(MATCH(E367,Код_КВР,0)+1,2,,,"КВР")))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7" s="44" t="s">
        <v>515</v>
      </c>
      <c r="C367" s="8" t="s">
        <v>230</v>
      </c>
      <c r="D367" s="1" t="s">
        <v>221</v>
      </c>
      <c r="E367" s="115">
        <v>611</v>
      </c>
      <c r="F367" s="7">
        <f>'прил.5'!G1004</f>
        <v>88342.5</v>
      </c>
      <c r="G367" s="7">
        <f>'прил.5'!H1004</f>
        <v>0</v>
      </c>
      <c r="H367" s="36">
        <f t="shared" si="90"/>
        <v>88342.5</v>
      </c>
      <c r="I367" s="7">
        <f>'прил.5'!J1004</f>
        <v>-512.8</v>
      </c>
      <c r="J367" s="36">
        <f t="shared" si="88"/>
        <v>87829.7</v>
      </c>
      <c r="K367" s="7">
        <f>'прил.5'!L1004</f>
        <v>-50.9</v>
      </c>
      <c r="L367" s="36">
        <f t="shared" si="86"/>
        <v>87778.8</v>
      </c>
      <c r="M367" s="7">
        <f>'прил.5'!N1004</f>
        <v>0</v>
      </c>
      <c r="N367" s="36">
        <f t="shared" si="87"/>
        <v>87778.8</v>
      </c>
      <c r="O367" s="7">
        <f>'прил.5'!P1004</f>
        <v>140.2</v>
      </c>
      <c r="P367" s="36">
        <f t="shared" si="82"/>
        <v>87919</v>
      </c>
      <c r="Q367" s="7">
        <f>'прил.5'!R1004</f>
        <v>-8874.4</v>
      </c>
      <c r="R367" s="36">
        <f t="shared" si="83"/>
        <v>79044.6</v>
      </c>
    </row>
    <row r="368" spans="1:18" ht="21" customHeight="1">
      <c r="A368" s="62" t="str">
        <f ca="1">IF(ISERROR(MATCH(E368,Код_КВР,0)),"",INDIRECT(ADDRESS(MATCH(E368,Код_КВР,0)+1,2,,,"КВР")))</f>
        <v>Субсидии автономным учреждениям</v>
      </c>
      <c r="B368" s="44" t="s">
        <v>515</v>
      </c>
      <c r="C368" s="8" t="s">
        <v>230</v>
      </c>
      <c r="D368" s="1" t="s">
        <v>221</v>
      </c>
      <c r="E368" s="115">
        <v>620</v>
      </c>
      <c r="F368" s="7">
        <f>F369</f>
        <v>12072.2</v>
      </c>
      <c r="G368" s="7">
        <f>G369</f>
        <v>0</v>
      </c>
      <c r="H368" s="36">
        <f t="shared" si="90"/>
        <v>12072.2</v>
      </c>
      <c r="I368" s="7">
        <f>I369</f>
        <v>0</v>
      </c>
      <c r="J368" s="36">
        <f t="shared" si="88"/>
        <v>12072.2</v>
      </c>
      <c r="K368" s="7">
        <f>K369</f>
        <v>-22</v>
      </c>
      <c r="L368" s="36">
        <f t="shared" si="86"/>
        <v>12050.2</v>
      </c>
      <c r="M368" s="7">
        <f>M369</f>
        <v>0</v>
      </c>
      <c r="N368" s="36">
        <f t="shared" si="87"/>
        <v>12050.2</v>
      </c>
      <c r="O368" s="7">
        <f>O369</f>
        <v>0</v>
      </c>
      <c r="P368" s="36">
        <f t="shared" si="82"/>
        <v>12050.2</v>
      </c>
      <c r="Q368" s="7">
        <f>Q369</f>
        <v>0</v>
      </c>
      <c r="R368" s="36">
        <f t="shared" si="83"/>
        <v>12050.2</v>
      </c>
    </row>
    <row r="369" spans="1:18" ht="52.7" customHeight="1">
      <c r="A369" s="62" t="str">
        <f ca="1">IF(ISERROR(MATCH(E369,Код_КВР,0)),"",INDIRECT(ADDRESS(MATCH(E369,Код_КВР,0)+1,2,,,"КВР")))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9" s="44" t="s">
        <v>515</v>
      </c>
      <c r="C369" s="8" t="s">
        <v>230</v>
      </c>
      <c r="D369" s="1" t="s">
        <v>221</v>
      </c>
      <c r="E369" s="115">
        <v>621</v>
      </c>
      <c r="F369" s="7">
        <f>'прил.5'!G1006</f>
        <v>12072.2</v>
      </c>
      <c r="G369" s="7">
        <f>'прил.5'!H1006</f>
        <v>0</v>
      </c>
      <c r="H369" s="36">
        <f t="shared" si="90"/>
        <v>12072.2</v>
      </c>
      <c r="I369" s="7">
        <f>'прил.5'!J1006</f>
        <v>0</v>
      </c>
      <c r="J369" s="36">
        <f t="shared" si="88"/>
        <v>12072.2</v>
      </c>
      <c r="K369" s="7">
        <f>'прил.5'!L1006</f>
        <v>-22</v>
      </c>
      <c r="L369" s="36">
        <f t="shared" si="86"/>
        <v>12050.2</v>
      </c>
      <c r="M369" s="7">
        <f>'прил.5'!N1006</f>
        <v>0</v>
      </c>
      <c r="N369" s="36">
        <f t="shared" si="87"/>
        <v>12050.2</v>
      </c>
      <c r="O369" s="7">
        <f>'прил.5'!P1006</f>
        <v>0</v>
      </c>
      <c r="P369" s="36">
        <f t="shared" si="82"/>
        <v>12050.2</v>
      </c>
      <c r="Q369" s="7">
        <f>'прил.5'!R1006</f>
        <v>0</v>
      </c>
      <c r="R369" s="36">
        <f t="shared" si="83"/>
        <v>12050.2</v>
      </c>
    </row>
    <row r="370" spans="1:18" ht="20.25" customHeight="1">
      <c r="A370" s="62" t="str">
        <f ca="1">IF(ISERROR(MATCH(B370,Код_КЦСР,0)),"",INDIRECT(ADDRESS(MATCH(B370,Код_КЦСР,0)+1,2,,,"КЦСР")))</f>
        <v>Формирование постиндустриального образа города Череповца</v>
      </c>
      <c r="B370" s="44" t="s">
        <v>516</v>
      </c>
      <c r="C370" s="8"/>
      <c r="D370" s="1"/>
      <c r="E370" s="115"/>
      <c r="F370" s="7">
        <f>F371+F382+F383</f>
        <v>8113.8</v>
      </c>
      <c r="G370" s="7">
        <f>G371+G382+G383</f>
        <v>0</v>
      </c>
      <c r="H370" s="36">
        <f t="shared" si="90"/>
        <v>8113.8</v>
      </c>
      <c r="I370" s="7">
        <f>I371+I382+I383</f>
        <v>0</v>
      </c>
      <c r="J370" s="36">
        <f t="shared" si="88"/>
        <v>8113.8</v>
      </c>
      <c r="K370" s="7">
        <f>K371+K382+K383</f>
        <v>0</v>
      </c>
      <c r="L370" s="36">
        <f t="shared" si="86"/>
        <v>8113.8</v>
      </c>
      <c r="M370" s="7">
        <f>M371+M382+M383</f>
        <v>0</v>
      </c>
      <c r="N370" s="36">
        <f t="shared" si="87"/>
        <v>8113.8</v>
      </c>
      <c r="O370" s="7">
        <f>O371+O382+O383</f>
        <v>0</v>
      </c>
      <c r="P370" s="36">
        <f t="shared" si="82"/>
        <v>8113.8</v>
      </c>
      <c r="Q370" s="7">
        <f>Q371+Q382+Q383</f>
        <v>0</v>
      </c>
      <c r="R370" s="36">
        <f t="shared" si="83"/>
        <v>8113.8</v>
      </c>
    </row>
    <row r="371" spans="1:18" ht="87" customHeight="1">
      <c r="A371" s="62" t="str">
        <f ca="1">IF(ISERROR(MATCH(B371,Код_КЦСР,0)),"",INDIRECT(ADDRESS(MATCH(B371,Код_КЦСР,0)+1,2,,,"КЦСР")))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71" s="44" t="s">
        <v>518</v>
      </c>
      <c r="C371" s="8"/>
      <c r="D371" s="1"/>
      <c r="E371" s="115"/>
      <c r="F371" s="7">
        <f aca="true" t="shared" si="91" ref="F371:Q375">F372</f>
        <v>2570</v>
      </c>
      <c r="G371" s="7">
        <f t="shared" si="91"/>
        <v>0</v>
      </c>
      <c r="H371" s="36">
        <f t="shared" si="90"/>
        <v>2570</v>
      </c>
      <c r="I371" s="7">
        <f t="shared" si="91"/>
        <v>0</v>
      </c>
      <c r="J371" s="36">
        <f t="shared" si="88"/>
        <v>2570</v>
      </c>
      <c r="K371" s="7">
        <f t="shared" si="91"/>
        <v>0</v>
      </c>
      <c r="L371" s="36">
        <f t="shared" si="86"/>
        <v>2570</v>
      </c>
      <c r="M371" s="7">
        <f t="shared" si="91"/>
        <v>0</v>
      </c>
      <c r="N371" s="36">
        <f t="shared" si="87"/>
        <v>2570</v>
      </c>
      <c r="O371" s="7">
        <f t="shared" si="91"/>
        <v>0</v>
      </c>
      <c r="P371" s="36">
        <f t="shared" si="82"/>
        <v>2570</v>
      </c>
      <c r="Q371" s="7">
        <f t="shared" si="91"/>
        <v>0</v>
      </c>
      <c r="R371" s="36">
        <f t="shared" si="83"/>
        <v>2570</v>
      </c>
    </row>
    <row r="372" spans="1:18" ht="22.5" customHeight="1">
      <c r="A372" s="62" t="str">
        <f ca="1">IF(ISERROR(MATCH(C372,Код_Раздел,0)),"",INDIRECT(ADDRESS(MATCH(C372,Код_Раздел,0)+1,2,,,"Раздел")))</f>
        <v>Культура, кинематография</v>
      </c>
      <c r="B372" s="44" t="s">
        <v>518</v>
      </c>
      <c r="C372" s="8" t="s">
        <v>230</v>
      </c>
      <c r="D372" s="1"/>
      <c r="E372" s="115"/>
      <c r="F372" s="7">
        <f t="shared" si="91"/>
        <v>2570</v>
      </c>
      <c r="G372" s="7">
        <f t="shared" si="91"/>
        <v>0</v>
      </c>
      <c r="H372" s="36">
        <f t="shared" si="90"/>
        <v>2570</v>
      </c>
      <c r="I372" s="7">
        <f t="shared" si="91"/>
        <v>0</v>
      </c>
      <c r="J372" s="36">
        <f t="shared" si="88"/>
        <v>2570</v>
      </c>
      <c r="K372" s="7">
        <f t="shared" si="91"/>
        <v>0</v>
      </c>
      <c r="L372" s="36">
        <f t="shared" si="86"/>
        <v>2570</v>
      </c>
      <c r="M372" s="7">
        <f t="shared" si="91"/>
        <v>0</v>
      </c>
      <c r="N372" s="36">
        <f t="shared" si="87"/>
        <v>2570</v>
      </c>
      <c r="O372" s="7">
        <f t="shared" si="91"/>
        <v>0</v>
      </c>
      <c r="P372" s="36">
        <f t="shared" si="82"/>
        <v>2570</v>
      </c>
      <c r="Q372" s="7">
        <f t="shared" si="91"/>
        <v>0</v>
      </c>
      <c r="R372" s="36">
        <f t="shared" si="83"/>
        <v>2570</v>
      </c>
    </row>
    <row r="373" spans="1:18" ht="19.5" customHeight="1">
      <c r="A373" s="12" t="s">
        <v>171</v>
      </c>
      <c r="B373" s="44" t="s">
        <v>518</v>
      </c>
      <c r="C373" s="8" t="s">
        <v>230</v>
      </c>
      <c r="D373" s="1" t="s">
        <v>224</v>
      </c>
      <c r="E373" s="115"/>
      <c r="F373" s="7">
        <f t="shared" si="91"/>
        <v>2570</v>
      </c>
      <c r="G373" s="7">
        <f t="shared" si="91"/>
        <v>0</v>
      </c>
      <c r="H373" s="36">
        <f t="shared" si="90"/>
        <v>2570</v>
      </c>
      <c r="I373" s="7">
        <f t="shared" si="91"/>
        <v>0</v>
      </c>
      <c r="J373" s="36">
        <f t="shared" si="88"/>
        <v>2570</v>
      </c>
      <c r="K373" s="7">
        <f t="shared" si="91"/>
        <v>0</v>
      </c>
      <c r="L373" s="36">
        <f t="shared" si="86"/>
        <v>2570</v>
      </c>
      <c r="M373" s="7">
        <f t="shared" si="91"/>
        <v>0</v>
      </c>
      <c r="N373" s="36">
        <f t="shared" si="87"/>
        <v>2570</v>
      </c>
      <c r="O373" s="7">
        <f t="shared" si="91"/>
        <v>0</v>
      </c>
      <c r="P373" s="36">
        <f t="shared" si="82"/>
        <v>2570</v>
      </c>
      <c r="Q373" s="7">
        <f t="shared" si="91"/>
        <v>0</v>
      </c>
      <c r="R373" s="36">
        <f t="shared" si="83"/>
        <v>2570</v>
      </c>
    </row>
    <row r="374" spans="1:18" ht="37.5" customHeight="1">
      <c r="A374" s="62" t="str">
        <f ca="1">IF(ISERROR(MATCH(E374,Код_КВР,0)),"",INDIRECT(ADDRESS(MATCH(E374,Код_КВР,0)+1,2,,,"КВР")))</f>
        <v>Предоставление субсидий бюджетным, автономным учреждениям и иным некоммерческим организациям</v>
      </c>
      <c r="B374" s="44" t="s">
        <v>518</v>
      </c>
      <c r="C374" s="8" t="s">
        <v>230</v>
      </c>
      <c r="D374" s="1" t="s">
        <v>224</v>
      </c>
      <c r="E374" s="115">
        <v>600</v>
      </c>
      <c r="F374" s="7">
        <f t="shared" si="91"/>
        <v>2570</v>
      </c>
      <c r="G374" s="7">
        <f t="shared" si="91"/>
        <v>0</v>
      </c>
      <c r="H374" s="36">
        <f t="shared" si="90"/>
        <v>2570</v>
      </c>
      <c r="I374" s="7">
        <f t="shared" si="91"/>
        <v>0</v>
      </c>
      <c r="J374" s="36">
        <f t="shared" si="88"/>
        <v>2570</v>
      </c>
      <c r="K374" s="7">
        <f t="shared" si="91"/>
        <v>0</v>
      </c>
      <c r="L374" s="36">
        <f t="shared" si="86"/>
        <v>2570</v>
      </c>
      <c r="M374" s="7">
        <f t="shared" si="91"/>
        <v>0</v>
      </c>
      <c r="N374" s="36">
        <f t="shared" si="87"/>
        <v>2570</v>
      </c>
      <c r="O374" s="7">
        <f t="shared" si="91"/>
        <v>0</v>
      </c>
      <c r="P374" s="36">
        <f t="shared" si="82"/>
        <v>2570</v>
      </c>
      <c r="Q374" s="7">
        <f t="shared" si="91"/>
        <v>0</v>
      </c>
      <c r="R374" s="36">
        <f t="shared" si="83"/>
        <v>2570</v>
      </c>
    </row>
    <row r="375" spans="1:18" ht="22.5" customHeight="1">
      <c r="A375" s="62" t="str">
        <f ca="1">IF(ISERROR(MATCH(E375,Код_КВР,0)),"",INDIRECT(ADDRESS(MATCH(E375,Код_КВР,0)+1,2,,,"КВР")))</f>
        <v>Субсидии бюджетным учреждениям</v>
      </c>
      <c r="B375" s="44" t="s">
        <v>518</v>
      </c>
      <c r="C375" s="8" t="s">
        <v>230</v>
      </c>
      <c r="D375" s="1" t="s">
        <v>224</v>
      </c>
      <c r="E375" s="115">
        <v>610</v>
      </c>
      <c r="F375" s="7">
        <f t="shared" si="91"/>
        <v>2570</v>
      </c>
      <c r="G375" s="7">
        <f t="shared" si="91"/>
        <v>0</v>
      </c>
      <c r="H375" s="36">
        <f t="shared" si="90"/>
        <v>2570</v>
      </c>
      <c r="I375" s="7">
        <f t="shared" si="91"/>
        <v>0</v>
      </c>
      <c r="J375" s="36">
        <f t="shared" si="88"/>
        <v>2570</v>
      </c>
      <c r="K375" s="7">
        <f t="shared" si="91"/>
        <v>0</v>
      </c>
      <c r="L375" s="36">
        <f t="shared" si="86"/>
        <v>2570</v>
      </c>
      <c r="M375" s="7">
        <f t="shared" si="91"/>
        <v>0</v>
      </c>
      <c r="N375" s="36">
        <f t="shared" si="87"/>
        <v>2570</v>
      </c>
      <c r="O375" s="7">
        <f t="shared" si="91"/>
        <v>0</v>
      </c>
      <c r="P375" s="36">
        <f t="shared" si="82"/>
        <v>2570</v>
      </c>
      <c r="Q375" s="7">
        <f t="shared" si="91"/>
        <v>0</v>
      </c>
      <c r="R375" s="36">
        <f t="shared" si="83"/>
        <v>2570</v>
      </c>
    </row>
    <row r="376" spans="1:18" ht="22.5" customHeight="1">
      <c r="A376" s="62" t="str">
        <f ca="1">IF(ISERROR(MATCH(E376,Код_КВР,0)),"",INDIRECT(ADDRESS(MATCH(E376,Код_КВР,0)+1,2,,,"КВР")))</f>
        <v>Субсидии бюджетным учреждениям на иные цели</v>
      </c>
      <c r="B376" s="44" t="s">
        <v>518</v>
      </c>
      <c r="C376" s="8" t="s">
        <v>230</v>
      </c>
      <c r="D376" s="1" t="s">
        <v>224</v>
      </c>
      <c r="E376" s="115">
        <v>612</v>
      </c>
      <c r="F376" s="7">
        <f>'прил.5'!G1072</f>
        <v>2570</v>
      </c>
      <c r="G376" s="7">
        <f>'прил.5'!H1072</f>
        <v>0</v>
      </c>
      <c r="H376" s="36">
        <f t="shared" si="90"/>
        <v>2570</v>
      </c>
      <c r="I376" s="7">
        <f>'прил.5'!J1072</f>
        <v>0</v>
      </c>
      <c r="J376" s="36">
        <f t="shared" si="88"/>
        <v>2570</v>
      </c>
      <c r="K376" s="7">
        <f>'прил.5'!L1072</f>
        <v>0</v>
      </c>
      <c r="L376" s="36">
        <f t="shared" si="86"/>
        <v>2570</v>
      </c>
      <c r="M376" s="7">
        <f>'прил.5'!N1072</f>
        <v>0</v>
      </c>
      <c r="N376" s="36">
        <f t="shared" si="87"/>
        <v>2570</v>
      </c>
      <c r="O376" s="7">
        <f>'прил.5'!P1072</f>
        <v>0</v>
      </c>
      <c r="P376" s="36">
        <f t="shared" si="82"/>
        <v>2570</v>
      </c>
      <c r="Q376" s="7">
        <f>'прил.5'!R1072</f>
        <v>0</v>
      </c>
      <c r="R376" s="36">
        <f t="shared" si="83"/>
        <v>2570</v>
      </c>
    </row>
    <row r="377" spans="1:18" ht="90.75" customHeight="1">
      <c r="A377" s="62" t="str">
        <f ca="1">IF(ISERROR(MATCH(B377,Код_КЦСР,0)),"",INDIRECT(ADDRESS(MATCH(B377,Код_КЦСР,0)+1,2,,,"КЦСР")))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377" s="44" t="s">
        <v>519</v>
      </c>
      <c r="C377" s="8"/>
      <c r="D377" s="1"/>
      <c r="E377" s="115"/>
      <c r="F377" s="7">
        <f aca="true" t="shared" si="92" ref="F377:Q381">F378</f>
        <v>160</v>
      </c>
      <c r="G377" s="7">
        <f t="shared" si="92"/>
        <v>0</v>
      </c>
      <c r="H377" s="36">
        <f t="shared" si="90"/>
        <v>160</v>
      </c>
      <c r="I377" s="7">
        <f t="shared" si="92"/>
        <v>0</v>
      </c>
      <c r="J377" s="36">
        <f t="shared" si="88"/>
        <v>160</v>
      </c>
      <c r="K377" s="7">
        <f t="shared" si="92"/>
        <v>0</v>
      </c>
      <c r="L377" s="36">
        <f t="shared" si="86"/>
        <v>160</v>
      </c>
      <c r="M377" s="7">
        <f t="shared" si="92"/>
        <v>0</v>
      </c>
      <c r="N377" s="36">
        <f t="shared" si="87"/>
        <v>160</v>
      </c>
      <c r="O377" s="7">
        <f t="shared" si="92"/>
        <v>0</v>
      </c>
      <c r="P377" s="36">
        <f t="shared" si="82"/>
        <v>160</v>
      </c>
      <c r="Q377" s="7">
        <f t="shared" si="92"/>
        <v>0</v>
      </c>
      <c r="R377" s="36">
        <f t="shared" si="83"/>
        <v>160</v>
      </c>
    </row>
    <row r="378" spans="1:18" ht="12.75">
      <c r="A378" s="62" t="str">
        <f ca="1">IF(ISERROR(MATCH(C378,Код_Раздел,0)),"",INDIRECT(ADDRESS(MATCH(C378,Код_Раздел,0)+1,2,,,"Раздел")))</f>
        <v>Культура, кинематография</v>
      </c>
      <c r="B378" s="44" t="s">
        <v>519</v>
      </c>
      <c r="C378" s="8" t="s">
        <v>230</v>
      </c>
      <c r="D378" s="1"/>
      <c r="E378" s="115"/>
      <c r="F378" s="7">
        <f t="shared" si="92"/>
        <v>160</v>
      </c>
      <c r="G378" s="7">
        <f t="shared" si="92"/>
        <v>0</v>
      </c>
      <c r="H378" s="36">
        <f t="shared" si="90"/>
        <v>160</v>
      </c>
      <c r="I378" s="7">
        <f t="shared" si="92"/>
        <v>0</v>
      </c>
      <c r="J378" s="36">
        <f t="shared" si="88"/>
        <v>160</v>
      </c>
      <c r="K378" s="7">
        <f t="shared" si="92"/>
        <v>0</v>
      </c>
      <c r="L378" s="36">
        <f t="shared" si="86"/>
        <v>160</v>
      </c>
      <c r="M378" s="7">
        <f t="shared" si="92"/>
        <v>0</v>
      </c>
      <c r="N378" s="36">
        <f t="shared" si="87"/>
        <v>160</v>
      </c>
      <c r="O378" s="7">
        <f t="shared" si="92"/>
        <v>0</v>
      </c>
      <c r="P378" s="36">
        <f t="shared" si="82"/>
        <v>160</v>
      </c>
      <c r="Q378" s="7">
        <f t="shared" si="92"/>
        <v>0</v>
      </c>
      <c r="R378" s="36">
        <f t="shared" si="83"/>
        <v>160</v>
      </c>
    </row>
    <row r="379" spans="1:18" ht="12.75">
      <c r="A379" s="12" t="s">
        <v>171</v>
      </c>
      <c r="B379" s="44" t="s">
        <v>519</v>
      </c>
      <c r="C379" s="8" t="s">
        <v>230</v>
      </c>
      <c r="D379" s="1" t="s">
        <v>224</v>
      </c>
      <c r="E379" s="115"/>
      <c r="F379" s="7">
        <f t="shared" si="92"/>
        <v>160</v>
      </c>
      <c r="G379" s="7">
        <f t="shared" si="92"/>
        <v>0</v>
      </c>
      <c r="H379" s="36">
        <f t="shared" si="90"/>
        <v>160</v>
      </c>
      <c r="I379" s="7">
        <f t="shared" si="92"/>
        <v>0</v>
      </c>
      <c r="J379" s="36">
        <f t="shared" si="88"/>
        <v>160</v>
      </c>
      <c r="K379" s="7">
        <f t="shared" si="92"/>
        <v>0</v>
      </c>
      <c r="L379" s="36">
        <f t="shared" si="86"/>
        <v>160</v>
      </c>
      <c r="M379" s="7">
        <f t="shared" si="92"/>
        <v>0</v>
      </c>
      <c r="N379" s="36">
        <f t="shared" si="87"/>
        <v>160</v>
      </c>
      <c r="O379" s="7">
        <f t="shared" si="92"/>
        <v>0</v>
      </c>
      <c r="P379" s="36">
        <f t="shared" si="82"/>
        <v>160</v>
      </c>
      <c r="Q379" s="7">
        <f t="shared" si="92"/>
        <v>0</v>
      </c>
      <c r="R379" s="36">
        <f t="shared" si="83"/>
        <v>160</v>
      </c>
    </row>
    <row r="380" spans="1:18" ht="33">
      <c r="A380" s="62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44" t="s">
        <v>519</v>
      </c>
      <c r="C380" s="8" t="s">
        <v>230</v>
      </c>
      <c r="D380" s="1" t="s">
        <v>224</v>
      </c>
      <c r="E380" s="115">
        <v>600</v>
      </c>
      <c r="F380" s="7">
        <f t="shared" si="92"/>
        <v>160</v>
      </c>
      <c r="G380" s="7">
        <f t="shared" si="92"/>
        <v>0</v>
      </c>
      <c r="H380" s="36">
        <f t="shared" si="90"/>
        <v>160</v>
      </c>
      <c r="I380" s="7">
        <f t="shared" si="92"/>
        <v>0</v>
      </c>
      <c r="J380" s="36">
        <f t="shared" si="88"/>
        <v>160</v>
      </c>
      <c r="K380" s="7">
        <f t="shared" si="92"/>
        <v>0</v>
      </c>
      <c r="L380" s="36">
        <f t="shared" si="86"/>
        <v>160</v>
      </c>
      <c r="M380" s="7">
        <f t="shared" si="92"/>
        <v>0</v>
      </c>
      <c r="N380" s="36">
        <f t="shared" si="87"/>
        <v>160</v>
      </c>
      <c r="O380" s="7">
        <f t="shared" si="92"/>
        <v>0</v>
      </c>
      <c r="P380" s="36">
        <f t="shared" si="82"/>
        <v>160</v>
      </c>
      <c r="Q380" s="7">
        <f t="shared" si="92"/>
        <v>0</v>
      </c>
      <c r="R380" s="36">
        <f t="shared" si="83"/>
        <v>160</v>
      </c>
    </row>
    <row r="381" spans="1:18" ht="12.75">
      <c r="A381" s="62" t="str">
        <f ca="1">IF(ISERROR(MATCH(E381,Код_КВР,0)),"",INDIRECT(ADDRESS(MATCH(E381,Код_КВР,0)+1,2,,,"КВР")))</f>
        <v>Субсидии бюджетным учреждениям</v>
      </c>
      <c r="B381" s="44" t="s">
        <v>519</v>
      </c>
      <c r="C381" s="8" t="s">
        <v>230</v>
      </c>
      <c r="D381" s="1" t="s">
        <v>224</v>
      </c>
      <c r="E381" s="115">
        <v>610</v>
      </c>
      <c r="F381" s="7">
        <f t="shared" si="92"/>
        <v>160</v>
      </c>
      <c r="G381" s="7">
        <f t="shared" si="92"/>
        <v>0</v>
      </c>
      <c r="H381" s="36">
        <f t="shared" si="90"/>
        <v>160</v>
      </c>
      <c r="I381" s="7">
        <f t="shared" si="92"/>
        <v>0</v>
      </c>
      <c r="J381" s="36">
        <f t="shared" si="88"/>
        <v>160</v>
      </c>
      <c r="K381" s="7">
        <f t="shared" si="92"/>
        <v>0</v>
      </c>
      <c r="L381" s="36">
        <f t="shared" si="86"/>
        <v>160</v>
      </c>
      <c r="M381" s="7">
        <f t="shared" si="92"/>
        <v>0</v>
      </c>
      <c r="N381" s="36">
        <f t="shared" si="87"/>
        <v>160</v>
      </c>
      <c r="O381" s="7">
        <f t="shared" si="92"/>
        <v>0</v>
      </c>
      <c r="P381" s="36">
        <f t="shared" si="82"/>
        <v>160</v>
      </c>
      <c r="Q381" s="7">
        <f t="shared" si="92"/>
        <v>0</v>
      </c>
      <c r="R381" s="36">
        <f t="shared" si="83"/>
        <v>160</v>
      </c>
    </row>
    <row r="382" spans="1:18" ht="12.75">
      <c r="A382" s="62" t="str">
        <f ca="1">IF(ISERROR(MATCH(E382,Код_КВР,0)),"",INDIRECT(ADDRESS(MATCH(E382,Код_КВР,0)+1,2,,,"КВР")))</f>
        <v>Субсидии бюджетным учреждениям на иные цели</v>
      </c>
      <c r="B382" s="44" t="s">
        <v>519</v>
      </c>
      <c r="C382" s="8" t="s">
        <v>230</v>
      </c>
      <c r="D382" s="1" t="s">
        <v>224</v>
      </c>
      <c r="E382" s="115">
        <v>612</v>
      </c>
      <c r="F382" s="7">
        <f>'прил.5'!G1076</f>
        <v>160</v>
      </c>
      <c r="G382" s="7">
        <f>'прил.5'!H1076</f>
        <v>0</v>
      </c>
      <c r="H382" s="36">
        <f t="shared" si="90"/>
        <v>160</v>
      </c>
      <c r="I382" s="7">
        <f>'прил.5'!J1076</f>
        <v>0</v>
      </c>
      <c r="J382" s="36">
        <f t="shared" si="88"/>
        <v>160</v>
      </c>
      <c r="K382" s="7">
        <f>'прил.5'!L1076</f>
        <v>0</v>
      </c>
      <c r="L382" s="36">
        <f t="shared" si="86"/>
        <v>160</v>
      </c>
      <c r="M382" s="7">
        <f>'прил.5'!N1076</f>
        <v>0</v>
      </c>
      <c r="N382" s="36">
        <f t="shared" si="87"/>
        <v>160</v>
      </c>
      <c r="O382" s="7">
        <f>'прил.5'!P1076</f>
        <v>0</v>
      </c>
      <c r="P382" s="36">
        <f t="shared" si="82"/>
        <v>160</v>
      </c>
      <c r="Q382" s="7">
        <f>'прил.5'!R1076</f>
        <v>0</v>
      </c>
      <c r="R382" s="36">
        <f t="shared" si="83"/>
        <v>160</v>
      </c>
    </row>
    <row r="383" spans="1:18" ht="33">
      <c r="A383" s="62" t="str">
        <f ca="1">IF(ISERROR(MATCH(B383,Код_КЦСР,0)),"",INDIRECT(ADDRESS(MATCH(B383,Код_КЦСР,0)+1,2,,,"КЦСР")))</f>
        <v xml:space="preserve">Организация и проведение городских культурно- массовых мероприятий </v>
      </c>
      <c r="B383" s="44" t="s">
        <v>520</v>
      </c>
      <c r="C383" s="8"/>
      <c r="D383" s="1"/>
      <c r="E383" s="115"/>
      <c r="F383" s="7">
        <f aca="true" t="shared" si="93" ref="F383:Q387">F384</f>
        <v>5383.8</v>
      </c>
      <c r="G383" s="7">
        <f t="shared" si="93"/>
        <v>0</v>
      </c>
      <c r="H383" s="36">
        <f t="shared" si="90"/>
        <v>5383.8</v>
      </c>
      <c r="I383" s="7">
        <f t="shared" si="93"/>
        <v>0</v>
      </c>
      <c r="J383" s="36">
        <f t="shared" si="88"/>
        <v>5383.8</v>
      </c>
      <c r="K383" s="7">
        <f t="shared" si="93"/>
        <v>0</v>
      </c>
      <c r="L383" s="36">
        <f t="shared" si="86"/>
        <v>5383.8</v>
      </c>
      <c r="M383" s="7">
        <f t="shared" si="93"/>
        <v>0</v>
      </c>
      <c r="N383" s="36">
        <f t="shared" si="87"/>
        <v>5383.8</v>
      </c>
      <c r="O383" s="7">
        <f t="shared" si="93"/>
        <v>0</v>
      </c>
      <c r="P383" s="36">
        <f t="shared" si="82"/>
        <v>5383.8</v>
      </c>
      <c r="Q383" s="7">
        <f t="shared" si="93"/>
        <v>0</v>
      </c>
      <c r="R383" s="36">
        <f t="shared" si="83"/>
        <v>5383.8</v>
      </c>
    </row>
    <row r="384" spans="1:18" ht="12.75">
      <c r="A384" s="62" t="str">
        <f ca="1">IF(ISERROR(MATCH(C384,Код_Раздел,0)),"",INDIRECT(ADDRESS(MATCH(C384,Код_Раздел,0)+1,2,,,"Раздел")))</f>
        <v>Культура, кинематография</v>
      </c>
      <c r="B384" s="44" t="s">
        <v>520</v>
      </c>
      <c r="C384" s="8" t="s">
        <v>230</v>
      </c>
      <c r="D384" s="1"/>
      <c r="E384" s="115"/>
      <c r="F384" s="7">
        <f t="shared" si="93"/>
        <v>5383.8</v>
      </c>
      <c r="G384" s="7">
        <f t="shared" si="93"/>
        <v>0</v>
      </c>
      <c r="H384" s="36">
        <f t="shared" si="90"/>
        <v>5383.8</v>
      </c>
      <c r="I384" s="7">
        <f t="shared" si="93"/>
        <v>0</v>
      </c>
      <c r="J384" s="36">
        <f t="shared" si="88"/>
        <v>5383.8</v>
      </c>
      <c r="K384" s="7">
        <f t="shared" si="93"/>
        <v>0</v>
      </c>
      <c r="L384" s="36">
        <f t="shared" si="86"/>
        <v>5383.8</v>
      </c>
      <c r="M384" s="7">
        <f t="shared" si="93"/>
        <v>0</v>
      </c>
      <c r="N384" s="36">
        <f t="shared" si="87"/>
        <v>5383.8</v>
      </c>
      <c r="O384" s="7">
        <f t="shared" si="93"/>
        <v>0</v>
      </c>
      <c r="P384" s="36">
        <f t="shared" si="82"/>
        <v>5383.8</v>
      </c>
      <c r="Q384" s="7">
        <f t="shared" si="93"/>
        <v>0</v>
      </c>
      <c r="R384" s="36">
        <f t="shared" si="83"/>
        <v>5383.8</v>
      </c>
    </row>
    <row r="385" spans="1:18" ht="12.75">
      <c r="A385" s="12" t="s">
        <v>192</v>
      </c>
      <c r="B385" s="44" t="s">
        <v>520</v>
      </c>
      <c r="C385" s="8" t="s">
        <v>230</v>
      </c>
      <c r="D385" s="1" t="s">
        <v>221</v>
      </c>
      <c r="E385" s="115"/>
      <c r="F385" s="7">
        <f t="shared" si="93"/>
        <v>5383.8</v>
      </c>
      <c r="G385" s="7">
        <f t="shared" si="93"/>
        <v>0</v>
      </c>
      <c r="H385" s="36">
        <f t="shared" si="90"/>
        <v>5383.8</v>
      </c>
      <c r="I385" s="7">
        <f t="shared" si="93"/>
        <v>0</v>
      </c>
      <c r="J385" s="36">
        <f t="shared" si="88"/>
        <v>5383.8</v>
      </c>
      <c r="K385" s="7">
        <f t="shared" si="93"/>
        <v>0</v>
      </c>
      <c r="L385" s="36">
        <f t="shared" si="86"/>
        <v>5383.8</v>
      </c>
      <c r="M385" s="7">
        <f t="shared" si="93"/>
        <v>0</v>
      </c>
      <c r="N385" s="36">
        <f t="shared" si="87"/>
        <v>5383.8</v>
      </c>
      <c r="O385" s="7">
        <f t="shared" si="93"/>
        <v>0</v>
      </c>
      <c r="P385" s="36">
        <f t="shared" si="82"/>
        <v>5383.8</v>
      </c>
      <c r="Q385" s="7">
        <f t="shared" si="93"/>
        <v>0</v>
      </c>
      <c r="R385" s="36">
        <f t="shared" si="83"/>
        <v>5383.8</v>
      </c>
    </row>
    <row r="386" spans="1:18" ht="33">
      <c r="A386" s="62" t="str">
        <f ca="1">IF(ISERROR(MATCH(E386,Код_КВР,0)),"",INDIRECT(ADDRESS(MATCH(E386,Код_КВР,0)+1,2,,,"КВР")))</f>
        <v>Предоставление субсидий бюджетным, автономным учреждениям и иным некоммерческим организациям</v>
      </c>
      <c r="B386" s="44" t="s">
        <v>520</v>
      </c>
      <c r="C386" s="8" t="s">
        <v>230</v>
      </c>
      <c r="D386" s="1" t="s">
        <v>221</v>
      </c>
      <c r="E386" s="115">
        <v>600</v>
      </c>
      <c r="F386" s="7">
        <f t="shared" si="93"/>
        <v>5383.8</v>
      </c>
      <c r="G386" s="7">
        <f t="shared" si="93"/>
        <v>0</v>
      </c>
      <c r="H386" s="36">
        <f t="shared" si="90"/>
        <v>5383.8</v>
      </c>
      <c r="I386" s="7">
        <f t="shared" si="93"/>
        <v>0</v>
      </c>
      <c r="J386" s="36">
        <f t="shared" si="88"/>
        <v>5383.8</v>
      </c>
      <c r="K386" s="7">
        <f t="shared" si="93"/>
        <v>0</v>
      </c>
      <c r="L386" s="36">
        <f t="shared" si="86"/>
        <v>5383.8</v>
      </c>
      <c r="M386" s="7">
        <f t="shared" si="93"/>
        <v>0</v>
      </c>
      <c r="N386" s="36">
        <f t="shared" si="87"/>
        <v>5383.8</v>
      </c>
      <c r="O386" s="7">
        <f t="shared" si="93"/>
        <v>0</v>
      </c>
      <c r="P386" s="36">
        <f t="shared" si="82"/>
        <v>5383.8</v>
      </c>
      <c r="Q386" s="7">
        <f t="shared" si="93"/>
        <v>0</v>
      </c>
      <c r="R386" s="36">
        <f t="shared" si="83"/>
        <v>5383.8</v>
      </c>
    </row>
    <row r="387" spans="1:18" ht="12.75">
      <c r="A387" s="62" t="str">
        <f ca="1">IF(ISERROR(MATCH(E387,Код_КВР,0)),"",INDIRECT(ADDRESS(MATCH(E387,Код_КВР,0)+1,2,,,"КВР")))</f>
        <v>Субсидии бюджетным учреждениям</v>
      </c>
      <c r="B387" s="44" t="s">
        <v>520</v>
      </c>
      <c r="C387" s="8" t="s">
        <v>230</v>
      </c>
      <c r="D387" s="1" t="s">
        <v>221</v>
      </c>
      <c r="E387" s="115">
        <v>610</v>
      </c>
      <c r="F387" s="7">
        <f t="shared" si="93"/>
        <v>5383.8</v>
      </c>
      <c r="G387" s="7">
        <f t="shared" si="93"/>
        <v>0</v>
      </c>
      <c r="H387" s="36">
        <f t="shared" si="90"/>
        <v>5383.8</v>
      </c>
      <c r="I387" s="7">
        <f t="shared" si="93"/>
        <v>0</v>
      </c>
      <c r="J387" s="36">
        <f t="shared" si="88"/>
        <v>5383.8</v>
      </c>
      <c r="K387" s="7">
        <f t="shared" si="93"/>
        <v>0</v>
      </c>
      <c r="L387" s="36">
        <f t="shared" si="86"/>
        <v>5383.8</v>
      </c>
      <c r="M387" s="7">
        <f t="shared" si="93"/>
        <v>0</v>
      </c>
      <c r="N387" s="36">
        <f t="shared" si="87"/>
        <v>5383.8</v>
      </c>
      <c r="O387" s="7">
        <f t="shared" si="93"/>
        <v>0</v>
      </c>
      <c r="P387" s="36">
        <f t="shared" si="82"/>
        <v>5383.8</v>
      </c>
      <c r="Q387" s="7">
        <f t="shared" si="93"/>
        <v>0</v>
      </c>
      <c r="R387" s="36">
        <f t="shared" si="83"/>
        <v>5383.8</v>
      </c>
    </row>
    <row r="388" spans="1:18" ht="49.5">
      <c r="A388" s="62" t="str">
        <f ca="1">IF(ISERROR(MATCH(E388,Код_КВР,0)),"",INDIRECT(ADDRESS(MATCH(E388,Код_КВР,0)+1,2,,,"КВР")))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8" s="44" t="s">
        <v>520</v>
      </c>
      <c r="C388" s="8" t="s">
        <v>230</v>
      </c>
      <c r="D388" s="1" t="s">
        <v>221</v>
      </c>
      <c r="E388" s="115">
        <v>611</v>
      </c>
      <c r="F388" s="7">
        <f>'прил.5'!G1011</f>
        <v>5383.8</v>
      </c>
      <c r="G388" s="7">
        <f>'прил.5'!H1011</f>
        <v>0</v>
      </c>
      <c r="H388" s="36">
        <f t="shared" si="90"/>
        <v>5383.8</v>
      </c>
      <c r="I388" s="7">
        <f>'прил.5'!J1011</f>
        <v>0</v>
      </c>
      <c r="J388" s="36">
        <f t="shared" si="88"/>
        <v>5383.8</v>
      </c>
      <c r="K388" s="7">
        <f>'прил.5'!L1011</f>
        <v>0</v>
      </c>
      <c r="L388" s="36">
        <f t="shared" si="86"/>
        <v>5383.8</v>
      </c>
      <c r="M388" s="7">
        <f>'прил.5'!N1011</f>
        <v>0</v>
      </c>
      <c r="N388" s="36">
        <f t="shared" si="87"/>
        <v>5383.8</v>
      </c>
      <c r="O388" s="7">
        <f>'прил.5'!P1011</f>
        <v>0</v>
      </c>
      <c r="P388" s="36">
        <f t="shared" si="82"/>
        <v>5383.8</v>
      </c>
      <c r="Q388" s="7">
        <f>'прил.5'!R1011</f>
        <v>0</v>
      </c>
      <c r="R388" s="36">
        <f t="shared" si="83"/>
        <v>5383.8</v>
      </c>
    </row>
    <row r="389" spans="1:18" ht="18.75" customHeight="1">
      <c r="A389" s="62" t="str">
        <f ca="1">IF(ISERROR(MATCH(B389,Код_КЦСР,0)),"",INDIRECT(ADDRESS(MATCH(B389,Код_КЦСР,0)+1,2,,,"КЦСР")))</f>
        <v xml:space="preserve">Индустрия отдыха на территориях парков культуры и отдыха </v>
      </c>
      <c r="B389" s="44" t="s">
        <v>522</v>
      </c>
      <c r="C389" s="8"/>
      <c r="D389" s="1"/>
      <c r="E389" s="115"/>
      <c r="F389" s="7">
        <f aca="true" t="shared" si="94" ref="F389:Q394">F390</f>
        <v>4501.2</v>
      </c>
      <c r="G389" s="7">
        <f t="shared" si="94"/>
        <v>0</v>
      </c>
      <c r="H389" s="36">
        <f t="shared" si="90"/>
        <v>4501.2</v>
      </c>
      <c r="I389" s="7">
        <f t="shared" si="94"/>
        <v>0</v>
      </c>
      <c r="J389" s="36">
        <f t="shared" si="88"/>
        <v>4501.2</v>
      </c>
      <c r="K389" s="7">
        <f t="shared" si="94"/>
        <v>0</v>
      </c>
      <c r="L389" s="36">
        <f t="shared" si="86"/>
        <v>4501.2</v>
      </c>
      <c r="M389" s="7">
        <f t="shared" si="94"/>
        <v>0</v>
      </c>
      <c r="N389" s="36">
        <f t="shared" si="87"/>
        <v>4501.2</v>
      </c>
      <c r="O389" s="7">
        <f t="shared" si="94"/>
        <v>0</v>
      </c>
      <c r="P389" s="36">
        <f t="shared" si="82"/>
        <v>4501.2</v>
      </c>
      <c r="Q389" s="7">
        <f t="shared" si="94"/>
        <v>0</v>
      </c>
      <c r="R389" s="36">
        <f t="shared" si="83"/>
        <v>4501.2</v>
      </c>
    </row>
    <row r="390" spans="1:18" ht="35.25" customHeight="1">
      <c r="A390" s="62" t="str">
        <f ca="1">IF(ISERROR(MATCH(B390,Код_КЦСР,0)),"",INDIRECT(ADDRESS(MATCH(B390,Код_КЦСР,0)+1,2,,,"КЦСР")))</f>
        <v>Работа по организации досуга населения на базе парков культуры и отдыха</v>
      </c>
      <c r="B390" s="44" t="s">
        <v>524</v>
      </c>
      <c r="C390" s="8"/>
      <c r="D390" s="1"/>
      <c r="E390" s="115"/>
      <c r="F390" s="7">
        <f t="shared" si="94"/>
        <v>4501.2</v>
      </c>
      <c r="G390" s="7">
        <f t="shared" si="94"/>
        <v>0</v>
      </c>
      <c r="H390" s="36">
        <f t="shared" si="90"/>
        <v>4501.2</v>
      </c>
      <c r="I390" s="7">
        <f t="shared" si="94"/>
        <v>0</v>
      </c>
      <c r="J390" s="36">
        <f t="shared" si="88"/>
        <v>4501.2</v>
      </c>
      <c r="K390" s="7">
        <f t="shared" si="94"/>
        <v>0</v>
      </c>
      <c r="L390" s="36">
        <f t="shared" si="86"/>
        <v>4501.2</v>
      </c>
      <c r="M390" s="7">
        <f t="shared" si="94"/>
        <v>0</v>
      </c>
      <c r="N390" s="36">
        <f t="shared" si="87"/>
        <v>4501.2</v>
      </c>
      <c r="O390" s="7">
        <f t="shared" si="94"/>
        <v>0</v>
      </c>
      <c r="P390" s="36">
        <f t="shared" si="82"/>
        <v>4501.2</v>
      </c>
      <c r="Q390" s="7">
        <f t="shared" si="94"/>
        <v>0</v>
      </c>
      <c r="R390" s="36">
        <f t="shared" si="83"/>
        <v>4501.2</v>
      </c>
    </row>
    <row r="391" spans="1:18" ht="19.5" customHeight="1">
      <c r="A391" s="62" t="str">
        <f ca="1">IF(ISERROR(MATCH(C391,Код_Раздел,0)),"",INDIRECT(ADDRESS(MATCH(C391,Код_Раздел,0)+1,2,,,"Раздел")))</f>
        <v>Культура, кинематография</v>
      </c>
      <c r="B391" s="44" t="s">
        <v>524</v>
      </c>
      <c r="C391" s="8" t="s">
        <v>230</v>
      </c>
      <c r="D391" s="1"/>
      <c r="E391" s="115"/>
      <c r="F391" s="7">
        <f t="shared" si="94"/>
        <v>4501.2</v>
      </c>
      <c r="G391" s="7">
        <f t="shared" si="94"/>
        <v>0</v>
      </c>
      <c r="H391" s="36">
        <f t="shared" si="90"/>
        <v>4501.2</v>
      </c>
      <c r="I391" s="7">
        <f t="shared" si="94"/>
        <v>0</v>
      </c>
      <c r="J391" s="36">
        <f t="shared" si="88"/>
        <v>4501.2</v>
      </c>
      <c r="K391" s="7">
        <f t="shared" si="94"/>
        <v>0</v>
      </c>
      <c r="L391" s="36">
        <f t="shared" si="86"/>
        <v>4501.2</v>
      </c>
      <c r="M391" s="7">
        <f t="shared" si="94"/>
        <v>0</v>
      </c>
      <c r="N391" s="36">
        <f t="shared" si="87"/>
        <v>4501.2</v>
      </c>
      <c r="O391" s="7">
        <f t="shared" si="94"/>
        <v>0</v>
      </c>
      <c r="P391" s="36">
        <f t="shared" si="82"/>
        <v>4501.2</v>
      </c>
      <c r="Q391" s="7">
        <f t="shared" si="94"/>
        <v>0</v>
      </c>
      <c r="R391" s="36">
        <f t="shared" si="83"/>
        <v>4501.2</v>
      </c>
    </row>
    <row r="392" spans="1:18" ht="19.5" customHeight="1">
      <c r="A392" s="12" t="s">
        <v>192</v>
      </c>
      <c r="B392" s="44" t="s">
        <v>524</v>
      </c>
      <c r="C392" s="8" t="s">
        <v>230</v>
      </c>
      <c r="D392" s="1" t="s">
        <v>221</v>
      </c>
      <c r="E392" s="115"/>
      <c r="F392" s="7">
        <f t="shared" si="94"/>
        <v>4501.2</v>
      </c>
      <c r="G392" s="7">
        <f t="shared" si="94"/>
        <v>0</v>
      </c>
      <c r="H392" s="36">
        <f t="shared" si="90"/>
        <v>4501.2</v>
      </c>
      <c r="I392" s="7">
        <f t="shared" si="94"/>
        <v>0</v>
      </c>
      <c r="J392" s="36">
        <f t="shared" si="88"/>
        <v>4501.2</v>
      </c>
      <c r="K392" s="7">
        <f t="shared" si="94"/>
        <v>0</v>
      </c>
      <c r="L392" s="36">
        <f t="shared" si="86"/>
        <v>4501.2</v>
      </c>
      <c r="M392" s="7">
        <f t="shared" si="94"/>
        <v>0</v>
      </c>
      <c r="N392" s="36">
        <f t="shared" si="87"/>
        <v>4501.2</v>
      </c>
      <c r="O392" s="7">
        <f t="shared" si="94"/>
        <v>0</v>
      </c>
      <c r="P392" s="36">
        <f t="shared" si="82"/>
        <v>4501.2</v>
      </c>
      <c r="Q392" s="7">
        <f t="shared" si="94"/>
        <v>0</v>
      </c>
      <c r="R392" s="36">
        <f t="shared" si="83"/>
        <v>4501.2</v>
      </c>
    </row>
    <row r="393" spans="1:18" ht="35.25" customHeight="1">
      <c r="A393" s="62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44" t="s">
        <v>524</v>
      </c>
      <c r="C393" s="8" t="s">
        <v>230</v>
      </c>
      <c r="D393" s="1" t="s">
        <v>221</v>
      </c>
      <c r="E393" s="115">
        <v>600</v>
      </c>
      <c r="F393" s="7">
        <f t="shared" si="94"/>
        <v>4501.2</v>
      </c>
      <c r="G393" s="7">
        <f t="shared" si="94"/>
        <v>0</v>
      </c>
      <c r="H393" s="36">
        <f t="shared" si="90"/>
        <v>4501.2</v>
      </c>
      <c r="I393" s="7">
        <f t="shared" si="94"/>
        <v>0</v>
      </c>
      <c r="J393" s="36">
        <f t="shared" si="88"/>
        <v>4501.2</v>
      </c>
      <c r="K393" s="7">
        <f t="shared" si="94"/>
        <v>0</v>
      </c>
      <c r="L393" s="36">
        <f t="shared" si="86"/>
        <v>4501.2</v>
      </c>
      <c r="M393" s="7">
        <f t="shared" si="94"/>
        <v>0</v>
      </c>
      <c r="N393" s="36">
        <f t="shared" si="87"/>
        <v>4501.2</v>
      </c>
      <c r="O393" s="7">
        <f t="shared" si="94"/>
        <v>0</v>
      </c>
      <c r="P393" s="36">
        <f t="shared" si="82"/>
        <v>4501.2</v>
      </c>
      <c r="Q393" s="7">
        <f t="shared" si="94"/>
        <v>0</v>
      </c>
      <c r="R393" s="36">
        <f t="shared" si="83"/>
        <v>4501.2</v>
      </c>
    </row>
    <row r="394" spans="1:18" ht="19.5" customHeight="1">
      <c r="A394" s="62" t="str">
        <f ca="1">IF(ISERROR(MATCH(E394,Код_КВР,0)),"",INDIRECT(ADDRESS(MATCH(E394,Код_КВР,0)+1,2,,,"КВР")))</f>
        <v>Субсидии автономным учреждениям</v>
      </c>
      <c r="B394" s="44" t="s">
        <v>524</v>
      </c>
      <c r="C394" s="8" t="s">
        <v>230</v>
      </c>
      <c r="D394" s="1" t="s">
        <v>221</v>
      </c>
      <c r="E394" s="115">
        <v>620</v>
      </c>
      <c r="F394" s="7">
        <f t="shared" si="94"/>
        <v>4501.2</v>
      </c>
      <c r="G394" s="7">
        <f t="shared" si="94"/>
        <v>0</v>
      </c>
      <c r="H394" s="36">
        <f t="shared" si="90"/>
        <v>4501.2</v>
      </c>
      <c r="I394" s="7">
        <f t="shared" si="94"/>
        <v>0</v>
      </c>
      <c r="J394" s="36">
        <f t="shared" si="88"/>
        <v>4501.2</v>
      </c>
      <c r="K394" s="7">
        <f t="shared" si="94"/>
        <v>0</v>
      </c>
      <c r="L394" s="36">
        <f t="shared" si="86"/>
        <v>4501.2</v>
      </c>
      <c r="M394" s="7">
        <f t="shared" si="94"/>
        <v>0</v>
      </c>
      <c r="N394" s="36">
        <f t="shared" si="87"/>
        <v>4501.2</v>
      </c>
      <c r="O394" s="7">
        <f t="shared" si="94"/>
        <v>0</v>
      </c>
      <c r="P394" s="36">
        <f t="shared" si="82"/>
        <v>4501.2</v>
      </c>
      <c r="Q394" s="7">
        <f t="shared" si="94"/>
        <v>0</v>
      </c>
      <c r="R394" s="36">
        <f t="shared" si="83"/>
        <v>4501.2</v>
      </c>
    </row>
    <row r="395" spans="1:18" ht="52.7" customHeight="1">
      <c r="A395" s="62" t="str">
        <f ca="1">IF(ISERROR(MATCH(E395,Код_КВР,0)),"",INDIRECT(ADDRESS(MATCH(E395,Код_КВР,0)+1,2,,,"КВР")))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5" s="44" t="s">
        <v>524</v>
      </c>
      <c r="C395" s="8" t="s">
        <v>230</v>
      </c>
      <c r="D395" s="1" t="s">
        <v>221</v>
      </c>
      <c r="E395" s="115">
        <v>621</v>
      </c>
      <c r="F395" s="7">
        <f>'прил.5'!G1016</f>
        <v>4501.2</v>
      </c>
      <c r="G395" s="7">
        <f>'прил.5'!H1016</f>
        <v>0</v>
      </c>
      <c r="H395" s="36">
        <f t="shared" si="90"/>
        <v>4501.2</v>
      </c>
      <c r="I395" s="7">
        <f>'прил.5'!J1016</f>
        <v>0</v>
      </c>
      <c r="J395" s="36">
        <f t="shared" si="88"/>
        <v>4501.2</v>
      </c>
      <c r="K395" s="7">
        <f>'прил.5'!L1016</f>
        <v>0</v>
      </c>
      <c r="L395" s="36">
        <f t="shared" si="86"/>
        <v>4501.2</v>
      </c>
      <c r="M395" s="7">
        <f>'прил.5'!N1016</f>
        <v>0</v>
      </c>
      <c r="N395" s="36">
        <f t="shared" si="87"/>
        <v>4501.2</v>
      </c>
      <c r="O395" s="7">
        <f>'прил.5'!P1016</f>
        <v>0</v>
      </c>
      <c r="P395" s="36">
        <f t="shared" si="82"/>
        <v>4501.2</v>
      </c>
      <c r="Q395" s="7">
        <f>'прил.5'!R1016</f>
        <v>0</v>
      </c>
      <c r="R395" s="36">
        <f t="shared" si="83"/>
        <v>4501.2</v>
      </c>
    </row>
    <row r="396" spans="1:18" ht="33">
      <c r="A396" s="62" t="str">
        <f ca="1">IF(ISERROR(MATCH(B396,Код_КЦСР,0)),"",INDIRECT(ADDRESS(MATCH(B396,Код_КЦСР,0)+1,2,,,"КЦСР")))</f>
        <v>Дополнительное образование в сфере культуры и искусства, поддержка юных дарований</v>
      </c>
      <c r="B396" s="44" t="s">
        <v>526</v>
      </c>
      <c r="C396" s="8"/>
      <c r="D396" s="1"/>
      <c r="E396" s="115"/>
      <c r="F396" s="7">
        <f>F403</f>
        <v>60888.1</v>
      </c>
      <c r="G396" s="7">
        <f>G403</f>
        <v>0</v>
      </c>
      <c r="H396" s="36">
        <f t="shared" si="90"/>
        <v>60888.1</v>
      </c>
      <c r="I396" s="7">
        <f>I403</f>
        <v>0</v>
      </c>
      <c r="J396" s="36">
        <f t="shared" si="88"/>
        <v>60888.1</v>
      </c>
      <c r="K396" s="7">
        <f>K403</f>
        <v>-50.9</v>
      </c>
      <c r="L396" s="36">
        <f t="shared" si="86"/>
        <v>60837.2</v>
      </c>
      <c r="M396" s="7">
        <f>M403</f>
        <v>0</v>
      </c>
      <c r="N396" s="36">
        <f t="shared" si="87"/>
        <v>60837.2</v>
      </c>
      <c r="O396" s="7">
        <f>O403</f>
        <v>0</v>
      </c>
      <c r="P396" s="36">
        <f t="shared" si="82"/>
        <v>60837.2</v>
      </c>
      <c r="Q396" s="7">
        <f>Q403+Q409+Q397</f>
        <v>488.5</v>
      </c>
      <c r="R396" s="36">
        <f t="shared" si="83"/>
        <v>61325.7</v>
      </c>
    </row>
    <row r="397" spans="1:18" ht="55.5" customHeight="1">
      <c r="A397" s="62" t="str">
        <f ca="1">IF(ISERROR(MATCH(B397,Код_КЦСР,0)),"",INDIRECT(ADDRESS(MATCH(B397,Код_КЦСР,0)+1,2,,,"КЦСР")))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97" s="44" t="s">
        <v>528</v>
      </c>
      <c r="C397" s="8"/>
      <c r="D397" s="1"/>
      <c r="E397" s="130"/>
      <c r="F397" s="7"/>
      <c r="G397" s="7"/>
      <c r="H397" s="36"/>
      <c r="I397" s="7"/>
      <c r="J397" s="36"/>
      <c r="K397" s="7"/>
      <c r="L397" s="36"/>
      <c r="M397" s="7"/>
      <c r="N397" s="36"/>
      <c r="O397" s="7"/>
      <c r="P397" s="36"/>
      <c r="Q397" s="7">
        <f>Q398</f>
        <v>7.9</v>
      </c>
      <c r="R397" s="36">
        <f t="shared" si="83"/>
        <v>7.9</v>
      </c>
    </row>
    <row r="398" spans="1:18" ht="12.75">
      <c r="A398" s="62" t="str">
        <f ca="1">IF(ISERROR(MATCH(C398,Код_Раздел,0)),"",INDIRECT(ADDRESS(MATCH(C398,Код_Раздел,0)+1,2,,,"Раздел")))</f>
        <v>Образование</v>
      </c>
      <c r="B398" s="44" t="s">
        <v>528</v>
      </c>
      <c r="C398" s="8" t="s">
        <v>203</v>
      </c>
      <c r="D398" s="1"/>
      <c r="E398" s="130"/>
      <c r="F398" s="7"/>
      <c r="G398" s="7"/>
      <c r="H398" s="36"/>
      <c r="I398" s="7"/>
      <c r="J398" s="36"/>
      <c r="K398" s="7"/>
      <c r="L398" s="36"/>
      <c r="M398" s="7"/>
      <c r="N398" s="36"/>
      <c r="O398" s="7"/>
      <c r="P398" s="36"/>
      <c r="Q398" s="7">
        <f>Q399</f>
        <v>7.9</v>
      </c>
      <c r="R398" s="36">
        <f t="shared" si="83"/>
        <v>7.9</v>
      </c>
    </row>
    <row r="399" spans="1:18" ht="12.75">
      <c r="A399" s="12" t="s">
        <v>259</v>
      </c>
      <c r="B399" s="44" t="s">
        <v>528</v>
      </c>
      <c r="C399" s="8" t="s">
        <v>203</v>
      </c>
      <c r="D399" s="1" t="s">
        <v>227</v>
      </c>
      <c r="E399" s="130"/>
      <c r="F399" s="7"/>
      <c r="G399" s="7"/>
      <c r="H399" s="36"/>
      <c r="I399" s="7"/>
      <c r="J399" s="36"/>
      <c r="K399" s="7"/>
      <c r="L399" s="36"/>
      <c r="M399" s="7"/>
      <c r="N399" s="36"/>
      <c r="O399" s="7"/>
      <c r="P399" s="36"/>
      <c r="Q399" s="7">
        <f>Q400</f>
        <v>7.9</v>
      </c>
      <c r="R399" s="36">
        <f t="shared" si="83"/>
        <v>7.9</v>
      </c>
    </row>
    <row r="400" spans="1:18" ht="33">
      <c r="A400" s="62" t="str">
        <f ca="1">IF(ISERROR(MATCH(E400,Код_КВР,0)),"",INDIRECT(ADDRESS(MATCH(E400,Код_КВР,0)+1,2,,,"КВР")))</f>
        <v>Предоставление субсидий бюджетным, автономным учреждениям и иным некоммерческим организациям</v>
      </c>
      <c r="B400" s="44" t="s">
        <v>528</v>
      </c>
      <c r="C400" s="8" t="s">
        <v>203</v>
      </c>
      <c r="D400" s="1" t="s">
        <v>227</v>
      </c>
      <c r="E400" s="130">
        <v>600</v>
      </c>
      <c r="F400" s="7"/>
      <c r="G400" s="7"/>
      <c r="H400" s="36"/>
      <c r="I400" s="7"/>
      <c r="J400" s="36"/>
      <c r="K400" s="7"/>
      <c r="L400" s="36"/>
      <c r="M400" s="7"/>
      <c r="N400" s="36"/>
      <c r="O400" s="7"/>
      <c r="P400" s="36"/>
      <c r="Q400" s="7">
        <f>Q401</f>
        <v>7.9</v>
      </c>
      <c r="R400" s="36">
        <f t="shared" si="83"/>
        <v>7.9</v>
      </c>
    </row>
    <row r="401" spans="1:18" ht="12.75">
      <c r="A401" s="62" t="str">
        <f ca="1">IF(ISERROR(MATCH(E401,Код_КВР,0)),"",INDIRECT(ADDRESS(MATCH(E401,Код_КВР,0)+1,2,,,"КВР")))</f>
        <v>Субсидии бюджетным учреждениям</v>
      </c>
      <c r="B401" s="44" t="s">
        <v>528</v>
      </c>
      <c r="C401" s="8" t="s">
        <v>203</v>
      </c>
      <c r="D401" s="1" t="s">
        <v>227</v>
      </c>
      <c r="E401" s="130">
        <v>610</v>
      </c>
      <c r="F401" s="7"/>
      <c r="G401" s="7"/>
      <c r="H401" s="36"/>
      <c r="I401" s="7"/>
      <c r="J401" s="36"/>
      <c r="K401" s="7"/>
      <c r="L401" s="36"/>
      <c r="M401" s="7"/>
      <c r="N401" s="36"/>
      <c r="O401" s="7"/>
      <c r="P401" s="36"/>
      <c r="Q401" s="7">
        <f>Q402</f>
        <v>7.9</v>
      </c>
      <c r="R401" s="36">
        <f t="shared" si="83"/>
        <v>7.9</v>
      </c>
    </row>
    <row r="402" spans="1:18" ht="12.75">
      <c r="A402" s="62" t="str">
        <f ca="1">IF(ISERROR(MATCH(E402,Код_КВР,0)),"",INDIRECT(ADDRESS(MATCH(E402,Код_КВР,0)+1,2,,,"КВР")))</f>
        <v>Субсидии бюджетным учреждениям на иные цели</v>
      </c>
      <c r="B402" s="44" t="s">
        <v>528</v>
      </c>
      <c r="C402" s="8" t="s">
        <v>203</v>
      </c>
      <c r="D402" s="1" t="s">
        <v>227</v>
      </c>
      <c r="E402" s="130">
        <v>612</v>
      </c>
      <c r="F402" s="7"/>
      <c r="G402" s="7"/>
      <c r="H402" s="36"/>
      <c r="I402" s="7"/>
      <c r="J402" s="36"/>
      <c r="K402" s="7"/>
      <c r="L402" s="36"/>
      <c r="M402" s="7"/>
      <c r="N402" s="36"/>
      <c r="O402" s="7"/>
      <c r="P402" s="36"/>
      <c r="Q402" s="7">
        <f>'прил.5'!R935</f>
        <v>7.9</v>
      </c>
      <c r="R402" s="36">
        <f t="shared" si="83"/>
        <v>7.9</v>
      </c>
    </row>
    <row r="403" spans="1:18" ht="19.5" customHeight="1">
      <c r="A403" s="62" t="str">
        <f ca="1">IF(ISERROR(MATCH(B403,Код_КЦСР,0)),"",INDIRECT(ADDRESS(MATCH(B403,Код_КЦСР,0)+1,2,,,"КЦСР")))</f>
        <v>Оказание муниципальных услуг</v>
      </c>
      <c r="B403" s="44" t="s">
        <v>529</v>
      </c>
      <c r="C403" s="8"/>
      <c r="D403" s="1"/>
      <c r="E403" s="115"/>
      <c r="F403" s="7">
        <f aca="true" t="shared" si="95" ref="F403:Q407">F404</f>
        <v>60888.1</v>
      </c>
      <c r="G403" s="7">
        <f t="shared" si="95"/>
        <v>0</v>
      </c>
      <c r="H403" s="36">
        <f t="shared" si="90"/>
        <v>60888.1</v>
      </c>
      <c r="I403" s="7">
        <f t="shared" si="95"/>
        <v>0</v>
      </c>
      <c r="J403" s="36">
        <f t="shared" si="88"/>
        <v>60888.1</v>
      </c>
      <c r="K403" s="7">
        <f t="shared" si="95"/>
        <v>-50.9</v>
      </c>
      <c r="L403" s="36">
        <f t="shared" si="86"/>
        <v>60837.2</v>
      </c>
      <c r="M403" s="7">
        <f t="shared" si="95"/>
        <v>0</v>
      </c>
      <c r="N403" s="36">
        <f t="shared" si="87"/>
        <v>60837.2</v>
      </c>
      <c r="O403" s="7">
        <f t="shared" si="95"/>
        <v>0</v>
      </c>
      <c r="P403" s="36">
        <f t="shared" si="82"/>
        <v>60837.2</v>
      </c>
      <c r="Q403" s="7">
        <f t="shared" si="95"/>
        <v>330.6</v>
      </c>
      <c r="R403" s="36">
        <f t="shared" si="83"/>
        <v>61167.799999999996</v>
      </c>
    </row>
    <row r="404" spans="1:18" ht="17.25" customHeight="1">
      <c r="A404" s="62" t="str">
        <f ca="1">IF(ISERROR(MATCH(C404,Код_Раздел,0)),"",INDIRECT(ADDRESS(MATCH(C404,Код_Раздел,0)+1,2,,,"Раздел")))</f>
        <v>Образование</v>
      </c>
      <c r="B404" s="44" t="s">
        <v>529</v>
      </c>
      <c r="C404" s="8" t="s">
        <v>203</v>
      </c>
      <c r="D404" s="1"/>
      <c r="E404" s="115"/>
      <c r="F404" s="7">
        <f t="shared" si="95"/>
        <v>60888.1</v>
      </c>
      <c r="G404" s="7">
        <f t="shared" si="95"/>
        <v>0</v>
      </c>
      <c r="H404" s="36">
        <f t="shared" si="90"/>
        <v>60888.1</v>
      </c>
      <c r="I404" s="7">
        <f t="shared" si="95"/>
        <v>0</v>
      </c>
      <c r="J404" s="36">
        <f t="shared" si="88"/>
        <v>60888.1</v>
      </c>
      <c r="K404" s="7">
        <f t="shared" si="95"/>
        <v>-50.9</v>
      </c>
      <c r="L404" s="36">
        <f t="shared" si="86"/>
        <v>60837.2</v>
      </c>
      <c r="M404" s="7">
        <f t="shared" si="95"/>
        <v>0</v>
      </c>
      <c r="N404" s="36">
        <f t="shared" si="87"/>
        <v>60837.2</v>
      </c>
      <c r="O404" s="7">
        <f t="shared" si="95"/>
        <v>0</v>
      </c>
      <c r="P404" s="36">
        <f t="shared" si="82"/>
        <v>60837.2</v>
      </c>
      <c r="Q404" s="7">
        <f t="shared" si="95"/>
        <v>330.6</v>
      </c>
      <c r="R404" s="36">
        <f t="shared" si="83"/>
        <v>61167.799999999996</v>
      </c>
    </row>
    <row r="405" spans="1:18" ht="20.25" customHeight="1">
      <c r="A405" s="12" t="s">
        <v>258</v>
      </c>
      <c r="B405" s="44" t="s">
        <v>529</v>
      </c>
      <c r="C405" s="8" t="s">
        <v>203</v>
      </c>
      <c r="D405" s="1" t="s">
        <v>222</v>
      </c>
      <c r="E405" s="115"/>
      <c r="F405" s="7">
        <f t="shared" si="95"/>
        <v>60888.1</v>
      </c>
      <c r="G405" s="7">
        <f t="shared" si="95"/>
        <v>0</v>
      </c>
      <c r="H405" s="36">
        <f t="shared" si="90"/>
        <v>60888.1</v>
      </c>
      <c r="I405" s="7">
        <f t="shared" si="95"/>
        <v>0</v>
      </c>
      <c r="J405" s="36">
        <f t="shared" si="88"/>
        <v>60888.1</v>
      </c>
      <c r="K405" s="7">
        <f t="shared" si="95"/>
        <v>-50.9</v>
      </c>
      <c r="L405" s="36">
        <f t="shared" si="86"/>
        <v>60837.2</v>
      </c>
      <c r="M405" s="7">
        <f t="shared" si="95"/>
        <v>0</v>
      </c>
      <c r="N405" s="36">
        <f t="shared" si="87"/>
        <v>60837.2</v>
      </c>
      <c r="O405" s="7">
        <f t="shared" si="95"/>
        <v>0</v>
      </c>
      <c r="P405" s="36">
        <f t="shared" si="82"/>
        <v>60837.2</v>
      </c>
      <c r="Q405" s="7">
        <f t="shared" si="95"/>
        <v>330.6</v>
      </c>
      <c r="R405" s="36">
        <f t="shared" si="83"/>
        <v>61167.799999999996</v>
      </c>
    </row>
    <row r="406" spans="1:18" ht="36" customHeight="1">
      <c r="A406" s="62" t="str">
        <f ca="1">IF(ISERROR(MATCH(E406,Код_КВР,0)),"",INDIRECT(ADDRESS(MATCH(E406,Код_КВР,0)+1,2,,,"КВР")))</f>
        <v>Предоставление субсидий бюджетным, автономным учреждениям и иным некоммерческим организациям</v>
      </c>
      <c r="B406" s="44" t="s">
        <v>529</v>
      </c>
      <c r="C406" s="8" t="s">
        <v>203</v>
      </c>
      <c r="D406" s="1" t="s">
        <v>222</v>
      </c>
      <c r="E406" s="115">
        <v>600</v>
      </c>
      <c r="F406" s="7">
        <f t="shared" si="95"/>
        <v>60888.1</v>
      </c>
      <c r="G406" s="7">
        <f t="shared" si="95"/>
        <v>0</v>
      </c>
      <c r="H406" s="36">
        <f t="shared" si="90"/>
        <v>60888.1</v>
      </c>
      <c r="I406" s="7">
        <f t="shared" si="95"/>
        <v>0</v>
      </c>
      <c r="J406" s="36">
        <f t="shared" si="88"/>
        <v>60888.1</v>
      </c>
      <c r="K406" s="7">
        <f t="shared" si="95"/>
        <v>-50.9</v>
      </c>
      <c r="L406" s="36">
        <f t="shared" si="86"/>
        <v>60837.2</v>
      </c>
      <c r="M406" s="7">
        <f t="shared" si="95"/>
        <v>0</v>
      </c>
      <c r="N406" s="36">
        <f t="shared" si="87"/>
        <v>60837.2</v>
      </c>
      <c r="O406" s="7">
        <f t="shared" si="95"/>
        <v>0</v>
      </c>
      <c r="P406" s="36">
        <f t="shared" si="82"/>
        <v>60837.2</v>
      </c>
      <c r="Q406" s="7">
        <f t="shared" si="95"/>
        <v>330.6</v>
      </c>
      <c r="R406" s="36">
        <f t="shared" si="83"/>
        <v>61167.799999999996</v>
      </c>
    </row>
    <row r="407" spans="1:18" ht="20.25" customHeight="1">
      <c r="A407" s="62" t="str">
        <f ca="1">IF(ISERROR(MATCH(E407,Код_КВР,0)),"",INDIRECT(ADDRESS(MATCH(E407,Код_КВР,0)+1,2,,,"КВР")))</f>
        <v>Субсидии бюджетным учреждениям</v>
      </c>
      <c r="B407" s="44" t="s">
        <v>529</v>
      </c>
      <c r="C407" s="8" t="s">
        <v>203</v>
      </c>
      <c r="D407" s="1" t="s">
        <v>222</v>
      </c>
      <c r="E407" s="115">
        <v>610</v>
      </c>
      <c r="F407" s="7">
        <f t="shared" si="95"/>
        <v>60888.1</v>
      </c>
      <c r="G407" s="7">
        <f t="shared" si="95"/>
        <v>0</v>
      </c>
      <c r="H407" s="36">
        <f t="shared" si="90"/>
        <v>60888.1</v>
      </c>
      <c r="I407" s="7">
        <f t="shared" si="95"/>
        <v>0</v>
      </c>
      <c r="J407" s="36">
        <f t="shared" si="88"/>
        <v>60888.1</v>
      </c>
      <c r="K407" s="7">
        <f t="shared" si="95"/>
        <v>-50.9</v>
      </c>
      <c r="L407" s="36">
        <f t="shared" si="86"/>
        <v>60837.2</v>
      </c>
      <c r="M407" s="7">
        <f t="shared" si="95"/>
        <v>0</v>
      </c>
      <c r="N407" s="36">
        <f t="shared" si="87"/>
        <v>60837.2</v>
      </c>
      <c r="O407" s="7">
        <f t="shared" si="95"/>
        <v>0</v>
      </c>
      <c r="P407" s="36">
        <f t="shared" si="82"/>
        <v>60837.2</v>
      </c>
      <c r="Q407" s="7">
        <f t="shared" si="95"/>
        <v>330.6</v>
      </c>
      <c r="R407" s="36">
        <f t="shared" si="83"/>
        <v>61167.799999999996</v>
      </c>
    </row>
    <row r="408" spans="1:18" ht="49.5">
      <c r="A408" s="62" t="str">
        <f ca="1">IF(ISERROR(MATCH(E408,Код_КВР,0)),"",INDIRECT(ADDRESS(MATCH(E408,Код_КВР,0)+1,2,,,"КВР")))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8" s="44" t="s">
        <v>529</v>
      </c>
      <c r="C408" s="8" t="s">
        <v>203</v>
      </c>
      <c r="D408" s="1" t="s">
        <v>222</v>
      </c>
      <c r="E408" s="115">
        <v>611</v>
      </c>
      <c r="F408" s="7">
        <f>'прил.5'!G913</f>
        <v>60888.1</v>
      </c>
      <c r="G408" s="7">
        <f>'прил.5'!H913</f>
        <v>0</v>
      </c>
      <c r="H408" s="36">
        <f t="shared" si="90"/>
        <v>60888.1</v>
      </c>
      <c r="I408" s="7">
        <f>'прил.5'!J913</f>
        <v>0</v>
      </c>
      <c r="J408" s="36">
        <f t="shared" si="88"/>
        <v>60888.1</v>
      </c>
      <c r="K408" s="7">
        <f>'прил.5'!L913</f>
        <v>-50.9</v>
      </c>
      <c r="L408" s="36">
        <f t="shared" si="86"/>
        <v>60837.2</v>
      </c>
      <c r="M408" s="7">
        <f>'прил.5'!N913</f>
        <v>0</v>
      </c>
      <c r="N408" s="36">
        <f t="shared" si="87"/>
        <v>60837.2</v>
      </c>
      <c r="O408" s="7">
        <f>'прил.5'!P913</f>
        <v>0</v>
      </c>
      <c r="P408" s="36">
        <f t="shared" si="82"/>
        <v>60837.2</v>
      </c>
      <c r="Q408" s="7">
        <f>'прил.5'!R913</f>
        <v>330.6</v>
      </c>
      <c r="R408" s="36">
        <f t="shared" si="83"/>
        <v>61167.799999999996</v>
      </c>
    </row>
    <row r="409" spans="1:18" ht="37.5" customHeight="1">
      <c r="A409" s="62" t="str">
        <f ca="1">IF(ISERROR(MATCH(B409,Код_КЦСР,0)),"",INDIRECT(ADDRESS(MATCH(B409,Код_КЦСР,0)+1,2,,,"КЦСР")))</f>
        <v>Реализация мероприятий федеральной целевой программы "Культура России" (2012-2018 годы) за счет субсидий из федерального бюджета</v>
      </c>
      <c r="B409" s="44" t="s">
        <v>658</v>
      </c>
      <c r="C409" s="8"/>
      <c r="D409" s="1"/>
      <c r="E409" s="124"/>
      <c r="F409" s="7"/>
      <c r="G409" s="7"/>
      <c r="H409" s="36"/>
      <c r="I409" s="7"/>
      <c r="J409" s="36"/>
      <c r="K409" s="7"/>
      <c r="L409" s="36"/>
      <c r="M409" s="7"/>
      <c r="N409" s="36"/>
      <c r="O409" s="7"/>
      <c r="P409" s="36"/>
      <c r="Q409" s="7">
        <f>Q410</f>
        <v>150</v>
      </c>
      <c r="R409" s="36">
        <f t="shared" si="83"/>
        <v>150</v>
      </c>
    </row>
    <row r="410" spans="1:18" ht="12.75">
      <c r="A410" s="62" t="str">
        <f ca="1">IF(ISERROR(MATCH(C410,Код_Раздел,0)),"",INDIRECT(ADDRESS(MATCH(C410,Код_Раздел,0)+1,2,,,"Раздел")))</f>
        <v>Образование</v>
      </c>
      <c r="B410" s="44" t="s">
        <v>658</v>
      </c>
      <c r="C410" s="8" t="s">
        <v>203</v>
      </c>
      <c r="D410" s="1"/>
      <c r="E410" s="124"/>
      <c r="F410" s="7"/>
      <c r="G410" s="7"/>
      <c r="H410" s="36"/>
      <c r="I410" s="7"/>
      <c r="J410" s="36"/>
      <c r="K410" s="7"/>
      <c r="L410" s="36"/>
      <c r="M410" s="7"/>
      <c r="N410" s="36"/>
      <c r="O410" s="7"/>
      <c r="P410" s="36"/>
      <c r="Q410" s="7">
        <f>Q411</f>
        <v>150</v>
      </c>
      <c r="R410" s="36">
        <f t="shared" si="83"/>
        <v>150</v>
      </c>
    </row>
    <row r="411" spans="1:18" ht="12.75">
      <c r="A411" s="12" t="s">
        <v>259</v>
      </c>
      <c r="B411" s="44" t="s">
        <v>658</v>
      </c>
      <c r="C411" s="8" t="s">
        <v>203</v>
      </c>
      <c r="D411" s="1" t="s">
        <v>227</v>
      </c>
      <c r="E411" s="124"/>
      <c r="F411" s="7"/>
      <c r="G411" s="7"/>
      <c r="H411" s="36"/>
      <c r="I411" s="7"/>
      <c r="J411" s="36"/>
      <c r="K411" s="7"/>
      <c r="L411" s="36"/>
      <c r="M411" s="7"/>
      <c r="N411" s="36"/>
      <c r="O411" s="7"/>
      <c r="P411" s="36"/>
      <c r="Q411" s="7">
        <f>Q412</f>
        <v>150</v>
      </c>
      <c r="R411" s="36">
        <f t="shared" si="83"/>
        <v>150</v>
      </c>
    </row>
    <row r="412" spans="1:18" ht="33">
      <c r="A412" s="62" t="str">
        <f ca="1">IF(ISERROR(MATCH(E412,Код_КВР,0)),"",INDIRECT(ADDRESS(MATCH(E412,Код_КВР,0)+1,2,,,"КВР")))</f>
        <v>Предоставление субсидий бюджетным, автономным учреждениям и иным некоммерческим организациям</v>
      </c>
      <c r="B412" s="44" t="s">
        <v>658</v>
      </c>
      <c r="C412" s="8" t="s">
        <v>203</v>
      </c>
      <c r="D412" s="1" t="s">
        <v>227</v>
      </c>
      <c r="E412" s="124">
        <v>600</v>
      </c>
      <c r="F412" s="7"/>
      <c r="G412" s="7"/>
      <c r="H412" s="36"/>
      <c r="I412" s="7"/>
      <c r="J412" s="36"/>
      <c r="K412" s="7"/>
      <c r="L412" s="36"/>
      <c r="M412" s="7"/>
      <c r="N412" s="36"/>
      <c r="O412" s="7"/>
      <c r="P412" s="36"/>
      <c r="Q412" s="7">
        <f>Q413</f>
        <v>150</v>
      </c>
      <c r="R412" s="36">
        <f t="shared" si="83"/>
        <v>150</v>
      </c>
    </row>
    <row r="413" spans="1:18" ht="12.75">
      <c r="A413" s="62" t="str">
        <f ca="1">IF(ISERROR(MATCH(E413,Код_КВР,0)),"",INDIRECT(ADDRESS(MATCH(E413,Код_КВР,0)+1,2,,,"КВР")))</f>
        <v>Субсидии бюджетным учреждениям</v>
      </c>
      <c r="B413" s="44" t="s">
        <v>658</v>
      </c>
      <c r="C413" s="8" t="s">
        <v>203</v>
      </c>
      <c r="D413" s="1" t="s">
        <v>227</v>
      </c>
      <c r="E413" s="124">
        <v>610</v>
      </c>
      <c r="F413" s="7"/>
      <c r="G413" s="7"/>
      <c r="H413" s="36"/>
      <c r="I413" s="7"/>
      <c r="J413" s="36"/>
      <c r="K413" s="7"/>
      <c r="L413" s="36"/>
      <c r="M413" s="7"/>
      <c r="N413" s="36"/>
      <c r="O413" s="7"/>
      <c r="P413" s="36"/>
      <c r="Q413" s="7">
        <f>Q414</f>
        <v>150</v>
      </c>
      <c r="R413" s="36">
        <f t="shared" si="83"/>
        <v>150</v>
      </c>
    </row>
    <row r="414" spans="1:18" ht="24" customHeight="1">
      <c r="A414" s="62" t="str">
        <f ca="1">IF(ISERROR(MATCH(E414,Код_КВР,0)),"",INDIRECT(ADDRESS(MATCH(E414,Код_КВР,0)+1,2,,,"КВР")))</f>
        <v>Субсидии бюджетным учреждениям на иные цели</v>
      </c>
      <c r="B414" s="44" t="s">
        <v>658</v>
      </c>
      <c r="C414" s="8" t="s">
        <v>203</v>
      </c>
      <c r="D414" s="1" t="s">
        <v>227</v>
      </c>
      <c r="E414" s="124">
        <v>612</v>
      </c>
      <c r="F414" s="7"/>
      <c r="G414" s="7"/>
      <c r="H414" s="36"/>
      <c r="I414" s="7"/>
      <c r="J414" s="36"/>
      <c r="K414" s="7"/>
      <c r="L414" s="36"/>
      <c r="M414" s="7"/>
      <c r="N414" s="36"/>
      <c r="O414" s="7"/>
      <c r="P414" s="36"/>
      <c r="Q414" s="7">
        <f>'прил.5'!R939</f>
        <v>150</v>
      </c>
      <c r="R414" s="36">
        <f t="shared" si="83"/>
        <v>150</v>
      </c>
    </row>
    <row r="415" spans="1:18" ht="33">
      <c r="A415" s="62" t="str">
        <f ca="1">IF(ISERROR(MATCH(B415,Код_КЦСР,0)),"",INDIRECT(ADDRESS(MATCH(B415,Код_КЦСР,0)+1,2,,,"КЦСР")))</f>
        <v>Работа по организации и ведению бухгалтерского (бюджетного) учета и отчетности</v>
      </c>
      <c r="B415" s="44" t="s">
        <v>530</v>
      </c>
      <c r="C415" s="8"/>
      <c r="D415" s="1"/>
      <c r="E415" s="115"/>
      <c r="F415" s="7">
        <f aca="true" t="shared" si="96" ref="F415:Q419">F416</f>
        <v>7747.3</v>
      </c>
      <c r="G415" s="7">
        <f t="shared" si="96"/>
        <v>0</v>
      </c>
      <c r="H415" s="36">
        <f t="shared" si="90"/>
        <v>7747.3</v>
      </c>
      <c r="I415" s="7">
        <f t="shared" si="96"/>
        <v>0</v>
      </c>
      <c r="J415" s="36">
        <f t="shared" si="88"/>
        <v>7747.3</v>
      </c>
      <c r="K415" s="7">
        <f t="shared" si="96"/>
        <v>-1.8</v>
      </c>
      <c r="L415" s="36">
        <f t="shared" si="86"/>
        <v>7745.5</v>
      </c>
      <c r="M415" s="7">
        <f t="shared" si="96"/>
        <v>0</v>
      </c>
      <c r="N415" s="36">
        <f t="shared" si="87"/>
        <v>7745.5</v>
      </c>
      <c r="O415" s="7">
        <f t="shared" si="96"/>
        <v>0</v>
      </c>
      <c r="P415" s="36">
        <f t="shared" si="82"/>
        <v>7745.5</v>
      </c>
      <c r="Q415" s="7">
        <f t="shared" si="96"/>
        <v>0</v>
      </c>
      <c r="R415" s="36">
        <f t="shared" si="83"/>
        <v>7745.5</v>
      </c>
    </row>
    <row r="416" spans="1:18" ht="12.75">
      <c r="A416" s="62" t="str">
        <f ca="1">IF(ISERROR(MATCH(C416,Код_Раздел,0)),"",INDIRECT(ADDRESS(MATCH(C416,Код_Раздел,0)+1,2,,,"Раздел")))</f>
        <v>Культура, кинематография</v>
      </c>
      <c r="B416" s="44" t="s">
        <v>530</v>
      </c>
      <c r="C416" s="8" t="s">
        <v>230</v>
      </c>
      <c r="D416" s="1"/>
      <c r="E416" s="115"/>
      <c r="F416" s="7">
        <f t="shared" si="96"/>
        <v>7747.3</v>
      </c>
      <c r="G416" s="7">
        <f t="shared" si="96"/>
        <v>0</v>
      </c>
      <c r="H416" s="36">
        <f t="shared" si="90"/>
        <v>7747.3</v>
      </c>
      <c r="I416" s="7">
        <f t="shared" si="96"/>
        <v>0</v>
      </c>
      <c r="J416" s="36">
        <f t="shared" si="88"/>
        <v>7747.3</v>
      </c>
      <c r="K416" s="7">
        <f t="shared" si="96"/>
        <v>-1.8</v>
      </c>
      <c r="L416" s="36">
        <f t="shared" si="86"/>
        <v>7745.5</v>
      </c>
      <c r="M416" s="7">
        <f t="shared" si="96"/>
        <v>0</v>
      </c>
      <c r="N416" s="36">
        <f t="shared" si="87"/>
        <v>7745.5</v>
      </c>
      <c r="O416" s="7">
        <f t="shared" si="96"/>
        <v>0</v>
      </c>
      <c r="P416" s="36">
        <f t="shared" si="82"/>
        <v>7745.5</v>
      </c>
      <c r="Q416" s="7">
        <f t="shared" si="96"/>
        <v>0</v>
      </c>
      <c r="R416" s="36">
        <f t="shared" si="83"/>
        <v>7745.5</v>
      </c>
    </row>
    <row r="417" spans="1:18" ht="12.75">
      <c r="A417" s="12" t="s">
        <v>171</v>
      </c>
      <c r="B417" s="44" t="s">
        <v>530</v>
      </c>
      <c r="C417" s="8" t="s">
        <v>230</v>
      </c>
      <c r="D417" s="1" t="s">
        <v>224</v>
      </c>
      <c r="E417" s="115"/>
      <c r="F417" s="7">
        <f t="shared" si="96"/>
        <v>7747.3</v>
      </c>
      <c r="G417" s="7">
        <f t="shared" si="96"/>
        <v>0</v>
      </c>
      <c r="H417" s="36">
        <f t="shared" si="90"/>
        <v>7747.3</v>
      </c>
      <c r="I417" s="7">
        <f t="shared" si="96"/>
        <v>0</v>
      </c>
      <c r="J417" s="36">
        <f t="shared" si="88"/>
        <v>7747.3</v>
      </c>
      <c r="K417" s="7">
        <f t="shared" si="96"/>
        <v>-1.8</v>
      </c>
      <c r="L417" s="36">
        <f t="shared" si="86"/>
        <v>7745.5</v>
      </c>
      <c r="M417" s="7">
        <f t="shared" si="96"/>
        <v>0</v>
      </c>
      <c r="N417" s="36">
        <f t="shared" si="87"/>
        <v>7745.5</v>
      </c>
      <c r="O417" s="7">
        <f t="shared" si="96"/>
        <v>0</v>
      </c>
      <c r="P417" s="36">
        <f t="shared" si="82"/>
        <v>7745.5</v>
      </c>
      <c r="Q417" s="7">
        <f t="shared" si="96"/>
        <v>0</v>
      </c>
      <c r="R417" s="36">
        <f t="shared" si="83"/>
        <v>7745.5</v>
      </c>
    </row>
    <row r="418" spans="1:18" ht="33">
      <c r="A418" s="62" t="str">
        <f ca="1">IF(ISERROR(MATCH(E418,Код_КВР,0)),"",INDIRECT(ADDRESS(MATCH(E418,Код_КВР,0)+1,2,,,"КВР")))</f>
        <v>Предоставление субсидий бюджетным, автономным учреждениям и иным некоммерческим организациям</v>
      </c>
      <c r="B418" s="44" t="s">
        <v>530</v>
      </c>
      <c r="C418" s="8" t="s">
        <v>230</v>
      </c>
      <c r="D418" s="1" t="s">
        <v>224</v>
      </c>
      <c r="E418" s="115">
        <v>600</v>
      </c>
      <c r="F418" s="7">
        <f t="shared" si="96"/>
        <v>7747.3</v>
      </c>
      <c r="G418" s="7">
        <f t="shared" si="96"/>
        <v>0</v>
      </c>
      <c r="H418" s="36">
        <f t="shared" si="90"/>
        <v>7747.3</v>
      </c>
      <c r="I418" s="7">
        <f t="shared" si="96"/>
        <v>0</v>
      </c>
      <c r="J418" s="36">
        <f t="shared" si="88"/>
        <v>7747.3</v>
      </c>
      <c r="K418" s="7">
        <f t="shared" si="96"/>
        <v>-1.8</v>
      </c>
      <c r="L418" s="36">
        <f t="shared" si="86"/>
        <v>7745.5</v>
      </c>
      <c r="M418" s="7">
        <f t="shared" si="96"/>
        <v>0</v>
      </c>
      <c r="N418" s="36">
        <f t="shared" si="87"/>
        <v>7745.5</v>
      </c>
      <c r="O418" s="7">
        <f t="shared" si="96"/>
        <v>0</v>
      </c>
      <c r="P418" s="36">
        <f t="shared" si="82"/>
        <v>7745.5</v>
      </c>
      <c r="Q418" s="7">
        <f t="shared" si="96"/>
        <v>0</v>
      </c>
      <c r="R418" s="36">
        <f t="shared" si="83"/>
        <v>7745.5</v>
      </c>
    </row>
    <row r="419" spans="1:18" ht="12.75">
      <c r="A419" s="62" t="str">
        <f ca="1">IF(ISERROR(MATCH(E419,Код_КВР,0)),"",INDIRECT(ADDRESS(MATCH(E419,Код_КВР,0)+1,2,,,"КВР")))</f>
        <v>Субсидии бюджетным учреждениям</v>
      </c>
      <c r="B419" s="44" t="s">
        <v>530</v>
      </c>
      <c r="C419" s="8" t="s">
        <v>230</v>
      </c>
      <c r="D419" s="1" t="s">
        <v>224</v>
      </c>
      <c r="E419" s="115">
        <v>610</v>
      </c>
      <c r="F419" s="7">
        <f t="shared" si="96"/>
        <v>7747.3</v>
      </c>
      <c r="G419" s="7">
        <f t="shared" si="96"/>
        <v>0</v>
      </c>
      <c r="H419" s="36">
        <f t="shared" si="90"/>
        <v>7747.3</v>
      </c>
      <c r="I419" s="7">
        <f t="shared" si="96"/>
        <v>0</v>
      </c>
      <c r="J419" s="36">
        <f t="shared" si="88"/>
        <v>7747.3</v>
      </c>
      <c r="K419" s="7">
        <f t="shared" si="96"/>
        <v>-1.8</v>
      </c>
      <c r="L419" s="36">
        <f t="shared" si="86"/>
        <v>7745.5</v>
      </c>
      <c r="M419" s="7">
        <f t="shared" si="96"/>
        <v>0</v>
      </c>
      <c r="N419" s="36">
        <f t="shared" si="87"/>
        <v>7745.5</v>
      </c>
      <c r="O419" s="7">
        <f t="shared" si="96"/>
        <v>0</v>
      </c>
      <c r="P419" s="36">
        <f t="shared" si="82"/>
        <v>7745.5</v>
      </c>
      <c r="Q419" s="7">
        <f t="shared" si="96"/>
        <v>0</v>
      </c>
      <c r="R419" s="36">
        <f t="shared" si="83"/>
        <v>7745.5</v>
      </c>
    </row>
    <row r="420" spans="1:18" ht="49.5">
      <c r="A420" s="62" t="str">
        <f ca="1">IF(ISERROR(MATCH(E420,Код_КВР,0)),"",INDIRECT(ADDRESS(MATCH(E420,Код_КВР,0)+1,2,,,"КВР")))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0" s="44" t="s">
        <v>530</v>
      </c>
      <c r="C420" s="8" t="s">
        <v>230</v>
      </c>
      <c r="D420" s="1" t="s">
        <v>224</v>
      </c>
      <c r="E420" s="115">
        <v>611</v>
      </c>
      <c r="F420" s="7">
        <f>'прил.5'!G1080</f>
        <v>7747.3</v>
      </c>
      <c r="G420" s="7">
        <f>'прил.5'!H1080</f>
        <v>0</v>
      </c>
      <c r="H420" s="36">
        <f t="shared" si="90"/>
        <v>7747.3</v>
      </c>
      <c r="I420" s="7">
        <f>'прил.5'!J1080</f>
        <v>0</v>
      </c>
      <c r="J420" s="36">
        <f t="shared" si="88"/>
        <v>7747.3</v>
      </c>
      <c r="K420" s="7">
        <f>'прил.5'!L1080</f>
        <v>-1.8</v>
      </c>
      <c r="L420" s="36">
        <f t="shared" si="86"/>
        <v>7745.5</v>
      </c>
      <c r="M420" s="7">
        <f>'прил.5'!N1080</f>
        <v>0</v>
      </c>
      <c r="N420" s="36">
        <f t="shared" si="87"/>
        <v>7745.5</v>
      </c>
      <c r="O420" s="7">
        <f>'прил.5'!P1080</f>
        <v>0</v>
      </c>
      <c r="P420" s="36">
        <f t="shared" si="82"/>
        <v>7745.5</v>
      </c>
      <c r="Q420" s="7">
        <f>'прил.5'!R1080</f>
        <v>0</v>
      </c>
      <c r="R420" s="36">
        <f t="shared" si="83"/>
        <v>7745.5</v>
      </c>
    </row>
    <row r="421" spans="1:18" ht="49.5">
      <c r="A421" s="62" t="str">
        <f ca="1">IF(ISERROR(MATCH(B421,Код_КЦСР,0)),"",INDIRECT(ADDRESS(MATCH(B421,Код_КЦСР,0)+1,2,,,"КЦСР")))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421" s="44" t="s">
        <v>532</v>
      </c>
      <c r="C421" s="8"/>
      <c r="D421" s="1"/>
      <c r="E421" s="115"/>
      <c r="F421" s="7">
        <f>F422+F428+F436+F444+F450+F461</f>
        <v>332650.89999999997</v>
      </c>
      <c r="G421" s="7">
        <f>G422+G428+G436+G444+G450+G461</f>
        <v>0</v>
      </c>
      <c r="H421" s="36">
        <f t="shared" si="90"/>
        <v>332650.89999999997</v>
      </c>
      <c r="I421" s="7">
        <f>I422+I428+I436+I444+I450+I461</f>
        <v>0</v>
      </c>
      <c r="J421" s="36">
        <f t="shared" si="88"/>
        <v>332650.89999999997</v>
      </c>
      <c r="K421" s="7">
        <f>K422+K428+K436+K444+K450+K461</f>
        <v>-80.7</v>
      </c>
      <c r="L421" s="36">
        <f t="shared" si="86"/>
        <v>332570.19999999995</v>
      </c>
      <c r="M421" s="7">
        <f>M422+M428+M436+M444+M450+M461</f>
        <v>0</v>
      </c>
      <c r="N421" s="36">
        <f t="shared" si="87"/>
        <v>332570.19999999995</v>
      </c>
      <c r="O421" s="7">
        <f>O422+O428+O436+O444+O450+O461</f>
        <v>-3959.5</v>
      </c>
      <c r="P421" s="36">
        <f t="shared" si="82"/>
        <v>328610.69999999995</v>
      </c>
      <c r="Q421" s="7">
        <f>Q422+Q428+Q436+Q444+Q450+Q461</f>
        <v>-9775</v>
      </c>
      <c r="R421" s="36">
        <f t="shared" si="83"/>
        <v>318835.69999999995</v>
      </c>
    </row>
    <row r="422" spans="1:18" ht="12.75">
      <c r="A422" s="62" t="str">
        <f ca="1">IF(ISERROR(MATCH(B422,Код_КЦСР,0)),"",INDIRECT(ADDRESS(MATCH(B422,Код_КЦСР,0)+1,2,,,"КЦСР")))</f>
        <v>Обеспечение доступа к спортивным объектам</v>
      </c>
      <c r="B422" s="44" t="s">
        <v>534</v>
      </c>
      <c r="C422" s="8"/>
      <c r="D422" s="1"/>
      <c r="E422" s="115"/>
      <c r="F422" s="7">
        <f aca="true" t="shared" si="97" ref="F422:Q426">F423</f>
        <v>176820.9</v>
      </c>
      <c r="G422" s="7">
        <f t="shared" si="97"/>
        <v>-10908.8</v>
      </c>
      <c r="H422" s="36">
        <f t="shared" si="90"/>
        <v>165912.1</v>
      </c>
      <c r="I422" s="7">
        <f t="shared" si="97"/>
        <v>0</v>
      </c>
      <c r="J422" s="36">
        <f t="shared" si="88"/>
        <v>165912.1</v>
      </c>
      <c r="K422" s="7">
        <f t="shared" si="97"/>
        <v>0</v>
      </c>
      <c r="L422" s="36">
        <f t="shared" si="86"/>
        <v>165912.1</v>
      </c>
      <c r="M422" s="7">
        <f t="shared" si="97"/>
        <v>0</v>
      </c>
      <c r="N422" s="36">
        <f t="shared" si="87"/>
        <v>165912.1</v>
      </c>
      <c r="O422" s="7">
        <f t="shared" si="97"/>
        <v>0</v>
      </c>
      <c r="P422" s="36">
        <f t="shared" si="82"/>
        <v>165912.1</v>
      </c>
      <c r="Q422" s="7">
        <f t="shared" si="97"/>
        <v>-29775</v>
      </c>
      <c r="R422" s="36">
        <f t="shared" si="83"/>
        <v>136137.1</v>
      </c>
    </row>
    <row r="423" spans="1:18" ht="12.75">
      <c r="A423" s="62" t="str">
        <f ca="1">IF(ISERROR(MATCH(C423,Код_Раздел,0)),"",INDIRECT(ADDRESS(MATCH(C423,Код_Раздел,0)+1,2,,,"Раздел")))</f>
        <v>Физическая культура и спорт</v>
      </c>
      <c r="B423" s="44" t="s">
        <v>534</v>
      </c>
      <c r="C423" s="8" t="s">
        <v>232</v>
      </c>
      <c r="D423" s="1"/>
      <c r="E423" s="115"/>
      <c r="F423" s="7">
        <f t="shared" si="97"/>
        <v>176820.9</v>
      </c>
      <c r="G423" s="7">
        <f t="shared" si="97"/>
        <v>-10908.8</v>
      </c>
      <c r="H423" s="36">
        <f t="shared" si="90"/>
        <v>165912.1</v>
      </c>
      <c r="I423" s="7">
        <f t="shared" si="97"/>
        <v>0</v>
      </c>
      <c r="J423" s="36">
        <f t="shared" si="88"/>
        <v>165912.1</v>
      </c>
      <c r="K423" s="7">
        <f t="shared" si="97"/>
        <v>0</v>
      </c>
      <c r="L423" s="36">
        <f t="shared" si="86"/>
        <v>165912.1</v>
      </c>
      <c r="M423" s="7">
        <f t="shared" si="97"/>
        <v>0</v>
      </c>
      <c r="N423" s="36">
        <f t="shared" si="87"/>
        <v>165912.1</v>
      </c>
      <c r="O423" s="7">
        <f t="shared" si="97"/>
        <v>0</v>
      </c>
      <c r="P423" s="36">
        <f aca="true" t="shared" si="98" ref="P423:P486">N423+O423</f>
        <v>165912.1</v>
      </c>
      <c r="Q423" s="7">
        <f t="shared" si="97"/>
        <v>-29775</v>
      </c>
      <c r="R423" s="36">
        <f aca="true" t="shared" si="99" ref="R423:R486">P423+Q423</f>
        <v>136137.1</v>
      </c>
    </row>
    <row r="424" spans="1:18" ht="18.75" customHeight="1">
      <c r="A424" s="12" t="s">
        <v>194</v>
      </c>
      <c r="B424" s="44" t="s">
        <v>534</v>
      </c>
      <c r="C424" s="8" t="s">
        <v>232</v>
      </c>
      <c r="D424" s="1" t="s">
        <v>221</v>
      </c>
      <c r="E424" s="115"/>
      <c r="F424" s="7">
        <f t="shared" si="97"/>
        <v>176820.9</v>
      </c>
      <c r="G424" s="7">
        <f t="shared" si="97"/>
        <v>-10908.8</v>
      </c>
      <c r="H424" s="36">
        <f t="shared" si="90"/>
        <v>165912.1</v>
      </c>
      <c r="I424" s="7">
        <f t="shared" si="97"/>
        <v>0</v>
      </c>
      <c r="J424" s="36">
        <f t="shared" si="88"/>
        <v>165912.1</v>
      </c>
      <c r="K424" s="7">
        <f t="shared" si="97"/>
        <v>0</v>
      </c>
      <c r="L424" s="36">
        <f t="shared" si="86"/>
        <v>165912.1</v>
      </c>
      <c r="M424" s="7">
        <f t="shared" si="97"/>
        <v>0</v>
      </c>
      <c r="N424" s="36">
        <f t="shared" si="87"/>
        <v>165912.1</v>
      </c>
      <c r="O424" s="7">
        <f t="shared" si="97"/>
        <v>0</v>
      </c>
      <c r="P424" s="36">
        <f t="shared" si="98"/>
        <v>165912.1</v>
      </c>
      <c r="Q424" s="7">
        <f t="shared" si="97"/>
        <v>-29775</v>
      </c>
      <c r="R424" s="36">
        <f t="shared" si="99"/>
        <v>136137.1</v>
      </c>
    </row>
    <row r="425" spans="1:18" ht="33">
      <c r="A425" s="62" t="str">
        <f ca="1">IF(ISERROR(MATCH(E425,Код_КВР,0)),"",INDIRECT(ADDRESS(MATCH(E425,Код_КВР,0)+1,2,,,"КВР")))</f>
        <v>Предоставление субсидий бюджетным, автономным учреждениям и иным некоммерческим организациям</v>
      </c>
      <c r="B425" s="44" t="s">
        <v>534</v>
      </c>
      <c r="C425" s="8" t="s">
        <v>232</v>
      </c>
      <c r="D425" s="1" t="s">
        <v>221</v>
      </c>
      <c r="E425" s="115">
        <v>600</v>
      </c>
      <c r="F425" s="7">
        <f t="shared" si="97"/>
        <v>176820.9</v>
      </c>
      <c r="G425" s="7">
        <f t="shared" si="97"/>
        <v>-10908.8</v>
      </c>
      <c r="H425" s="36">
        <f t="shared" si="90"/>
        <v>165912.1</v>
      </c>
      <c r="I425" s="7">
        <f t="shared" si="97"/>
        <v>0</v>
      </c>
      <c r="J425" s="36">
        <f t="shared" si="88"/>
        <v>165912.1</v>
      </c>
      <c r="K425" s="7">
        <f t="shared" si="97"/>
        <v>0</v>
      </c>
      <c r="L425" s="36">
        <f t="shared" si="86"/>
        <v>165912.1</v>
      </c>
      <c r="M425" s="7">
        <f t="shared" si="97"/>
        <v>0</v>
      </c>
      <c r="N425" s="36">
        <f t="shared" si="87"/>
        <v>165912.1</v>
      </c>
      <c r="O425" s="7">
        <f t="shared" si="97"/>
        <v>0</v>
      </c>
      <c r="P425" s="36">
        <f t="shared" si="98"/>
        <v>165912.1</v>
      </c>
      <c r="Q425" s="7">
        <f t="shared" si="97"/>
        <v>-29775</v>
      </c>
      <c r="R425" s="36">
        <f t="shared" si="99"/>
        <v>136137.1</v>
      </c>
    </row>
    <row r="426" spans="1:18" ht="12.75">
      <c r="A426" s="62" t="str">
        <f ca="1">IF(ISERROR(MATCH(E426,Код_КВР,0)),"",INDIRECT(ADDRESS(MATCH(E426,Код_КВР,0)+1,2,,,"КВР")))</f>
        <v>Субсидии автономным учреждениям</v>
      </c>
      <c r="B426" s="44" t="s">
        <v>534</v>
      </c>
      <c r="C426" s="8" t="s">
        <v>232</v>
      </c>
      <c r="D426" s="1" t="s">
        <v>221</v>
      </c>
      <c r="E426" s="115">
        <v>620</v>
      </c>
      <c r="F426" s="7">
        <f t="shared" si="97"/>
        <v>176820.9</v>
      </c>
      <c r="G426" s="7">
        <f t="shared" si="97"/>
        <v>-10908.8</v>
      </c>
      <c r="H426" s="36">
        <f t="shared" si="90"/>
        <v>165912.1</v>
      </c>
      <c r="I426" s="7">
        <f t="shared" si="97"/>
        <v>0</v>
      </c>
      <c r="J426" s="36">
        <f t="shared" si="88"/>
        <v>165912.1</v>
      </c>
      <c r="K426" s="7">
        <f t="shared" si="97"/>
        <v>0</v>
      </c>
      <c r="L426" s="36">
        <f t="shared" si="86"/>
        <v>165912.1</v>
      </c>
      <c r="M426" s="7">
        <f t="shared" si="97"/>
        <v>0</v>
      </c>
      <c r="N426" s="36">
        <f t="shared" si="87"/>
        <v>165912.1</v>
      </c>
      <c r="O426" s="7">
        <f t="shared" si="97"/>
        <v>0</v>
      </c>
      <c r="P426" s="36">
        <f t="shared" si="98"/>
        <v>165912.1</v>
      </c>
      <c r="Q426" s="7">
        <f t="shared" si="97"/>
        <v>-29775</v>
      </c>
      <c r="R426" s="36">
        <f t="shared" si="99"/>
        <v>136137.1</v>
      </c>
    </row>
    <row r="427" spans="1:18" ht="49.5">
      <c r="A427" s="62" t="str">
        <f ca="1">IF(ISERROR(MATCH(E427,Код_КВР,0)),"",INDIRECT(ADDRESS(MATCH(E427,Код_КВР,0)+1,2,,,"КВР")))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27" s="44" t="s">
        <v>534</v>
      </c>
      <c r="C427" s="8" t="s">
        <v>232</v>
      </c>
      <c r="D427" s="1" t="s">
        <v>221</v>
      </c>
      <c r="E427" s="115">
        <v>621</v>
      </c>
      <c r="F427" s="7">
        <f>'прил.5'!G1179</f>
        <v>176820.9</v>
      </c>
      <c r="G427" s="7">
        <f>'прил.5'!H1179</f>
        <v>-10908.8</v>
      </c>
      <c r="H427" s="36">
        <f t="shared" si="90"/>
        <v>165912.1</v>
      </c>
      <c r="I427" s="7">
        <f>'прил.5'!J1179</f>
        <v>0</v>
      </c>
      <c r="J427" s="36">
        <f t="shared" si="88"/>
        <v>165912.1</v>
      </c>
      <c r="K427" s="7">
        <f>'прил.5'!L1179</f>
        <v>0</v>
      </c>
      <c r="L427" s="36">
        <f t="shared" si="86"/>
        <v>165912.1</v>
      </c>
      <c r="M427" s="7">
        <f>'прил.5'!N1179</f>
        <v>0</v>
      </c>
      <c r="N427" s="36">
        <f t="shared" si="87"/>
        <v>165912.1</v>
      </c>
      <c r="O427" s="7">
        <f>'прил.5'!P1179</f>
        <v>0</v>
      </c>
      <c r="P427" s="36">
        <f t="shared" si="98"/>
        <v>165912.1</v>
      </c>
      <c r="Q427" s="7">
        <f>'прил.5'!R1179</f>
        <v>-29775</v>
      </c>
      <c r="R427" s="36">
        <f t="shared" si="99"/>
        <v>136137.1</v>
      </c>
    </row>
    <row r="428" spans="1:18" ht="49.5">
      <c r="A428" s="62" t="str">
        <f ca="1">IF(ISERROR(MATCH(B428,Код_КЦСР,0)),"",INDIRECT(ADDRESS(MATCH(B428,Код_КЦСР,0)+1,2,,,"КЦСР")))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 и международного)</v>
      </c>
      <c r="B428" s="44" t="s">
        <v>536</v>
      </c>
      <c r="C428" s="8"/>
      <c r="D428" s="1"/>
      <c r="E428" s="115"/>
      <c r="F428" s="7">
        <f aca="true" t="shared" si="100" ref="F428:Q430">F429</f>
        <v>18569.3</v>
      </c>
      <c r="G428" s="7">
        <f t="shared" si="100"/>
        <v>0</v>
      </c>
      <c r="H428" s="36">
        <f t="shared" si="90"/>
        <v>18569.3</v>
      </c>
      <c r="I428" s="7">
        <f t="shared" si="100"/>
        <v>0</v>
      </c>
      <c r="J428" s="36">
        <f t="shared" si="88"/>
        <v>18569.3</v>
      </c>
      <c r="K428" s="7">
        <f t="shared" si="100"/>
        <v>0</v>
      </c>
      <c r="L428" s="36">
        <f t="shared" si="86"/>
        <v>18569.3</v>
      </c>
      <c r="M428" s="7">
        <f t="shared" si="100"/>
        <v>0</v>
      </c>
      <c r="N428" s="36">
        <f t="shared" si="87"/>
        <v>18569.3</v>
      </c>
      <c r="O428" s="7">
        <f t="shared" si="100"/>
        <v>-3162</v>
      </c>
      <c r="P428" s="36">
        <f t="shared" si="98"/>
        <v>15407.3</v>
      </c>
      <c r="Q428" s="7">
        <f t="shared" si="100"/>
        <v>150</v>
      </c>
      <c r="R428" s="36">
        <f t="shared" si="99"/>
        <v>15557.3</v>
      </c>
    </row>
    <row r="429" spans="1:18" ht="12.75">
      <c r="A429" s="62" t="str">
        <f ca="1">IF(ISERROR(MATCH(C429,Код_Раздел,0)),"",INDIRECT(ADDRESS(MATCH(C429,Код_Раздел,0)+1,2,,,"Раздел")))</f>
        <v>Физическая культура и спорт</v>
      </c>
      <c r="B429" s="44" t="s">
        <v>536</v>
      </c>
      <c r="C429" s="8" t="s">
        <v>232</v>
      </c>
      <c r="D429" s="1"/>
      <c r="E429" s="115"/>
      <c r="F429" s="7">
        <f t="shared" si="100"/>
        <v>18569.3</v>
      </c>
      <c r="G429" s="7">
        <f t="shared" si="100"/>
        <v>0</v>
      </c>
      <c r="H429" s="36">
        <f t="shared" si="90"/>
        <v>18569.3</v>
      </c>
      <c r="I429" s="7">
        <f t="shared" si="100"/>
        <v>0</v>
      </c>
      <c r="J429" s="36">
        <f t="shared" si="88"/>
        <v>18569.3</v>
      </c>
      <c r="K429" s="7">
        <f t="shared" si="100"/>
        <v>0</v>
      </c>
      <c r="L429" s="36">
        <f t="shared" si="86"/>
        <v>18569.3</v>
      </c>
      <c r="M429" s="7">
        <f t="shared" si="100"/>
        <v>0</v>
      </c>
      <c r="N429" s="36">
        <f t="shared" si="87"/>
        <v>18569.3</v>
      </c>
      <c r="O429" s="7">
        <f t="shared" si="100"/>
        <v>-3162</v>
      </c>
      <c r="P429" s="36">
        <f t="shared" si="98"/>
        <v>15407.3</v>
      </c>
      <c r="Q429" s="7">
        <f t="shared" si="100"/>
        <v>150</v>
      </c>
      <c r="R429" s="36">
        <f t="shared" si="99"/>
        <v>15557.3</v>
      </c>
    </row>
    <row r="430" spans="1:18" ht="12.75">
      <c r="A430" s="12" t="s">
        <v>194</v>
      </c>
      <c r="B430" s="44" t="s">
        <v>536</v>
      </c>
      <c r="C430" s="8" t="s">
        <v>232</v>
      </c>
      <c r="D430" s="1" t="s">
        <v>221</v>
      </c>
      <c r="E430" s="115"/>
      <c r="F430" s="7">
        <f t="shared" si="100"/>
        <v>18569.3</v>
      </c>
      <c r="G430" s="7">
        <f t="shared" si="100"/>
        <v>0</v>
      </c>
      <c r="H430" s="36">
        <f t="shared" si="90"/>
        <v>18569.3</v>
      </c>
      <c r="I430" s="7">
        <f t="shared" si="100"/>
        <v>0</v>
      </c>
      <c r="J430" s="36">
        <f t="shared" si="88"/>
        <v>18569.3</v>
      </c>
      <c r="K430" s="7">
        <f t="shared" si="100"/>
        <v>0</v>
      </c>
      <c r="L430" s="36">
        <f t="shared" si="86"/>
        <v>18569.3</v>
      </c>
      <c r="M430" s="7">
        <f t="shared" si="100"/>
        <v>0</v>
      </c>
      <c r="N430" s="36">
        <f t="shared" si="87"/>
        <v>18569.3</v>
      </c>
      <c r="O430" s="7">
        <f t="shared" si="100"/>
        <v>-3162</v>
      </c>
      <c r="P430" s="36">
        <f t="shared" si="98"/>
        <v>15407.3</v>
      </c>
      <c r="Q430" s="7">
        <f t="shared" si="100"/>
        <v>150</v>
      </c>
      <c r="R430" s="36">
        <f t="shared" si="99"/>
        <v>15557.3</v>
      </c>
    </row>
    <row r="431" spans="1:18" ht="33">
      <c r="A431" s="62" t="str">
        <f ca="1">IF(ISERROR(MATCH(E431,Код_КВР,0)),"",INDIRECT(ADDRESS(MATCH(E431,Код_КВР,0)+1,2,,,"КВР")))</f>
        <v>Предоставление субсидий бюджетным, автономным учреждениям и иным некоммерческим организациям</v>
      </c>
      <c r="B431" s="44" t="s">
        <v>536</v>
      </c>
      <c r="C431" s="8" t="s">
        <v>232</v>
      </c>
      <c r="D431" s="1" t="s">
        <v>221</v>
      </c>
      <c r="E431" s="115">
        <v>600</v>
      </c>
      <c r="F431" s="7">
        <f>F432+F434</f>
        <v>18569.3</v>
      </c>
      <c r="G431" s="7">
        <f>G432+G434</f>
        <v>0</v>
      </c>
      <c r="H431" s="36">
        <f t="shared" si="90"/>
        <v>18569.3</v>
      </c>
      <c r="I431" s="7">
        <f>I432+I434</f>
        <v>0</v>
      </c>
      <c r="J431" s="36">
        <f t="shared" si="88"/>
        <v>18569.3</v>
      </c>
      <c r="K431" s="7">
        <f>K432+K434</f>
        <v>0</v>
      </c>
      <c r="L431" s="36">
        <f aca="true" t="shared" si="101" ref="L431:L494">J431+K431</f>
        <v>18569.3</v>
      </c>
      <c r="M431" s="7">
        <f>M432+M434</f>
        <v>0</v>
      </c>
      <c r="N431" s="36">
        <f aca="true" t="shared" si="102" ref="N431:N494">L431+M431</f>
        <v>18569.3</v>
      </c>
      <c r="O431" s="7">
        <f>O432+O434</f>
        <v>-3162</v>
      </c>
      <c r="P431" s="36">
        <f t="shared" si="98"/>
        <v>15407.3</v>
      </c>
      <c r="Q431" s="7">
        <f>Q432+Q434</f>
        <v>150</v>
      </c>
      <c r="R431" s="36">
        <f t="shared" si="99"/>
        <v>15557.3</v>
      </c>
    </row>
    <row r="432" spans="1:18" ht="12.75">
      <c r="A432" s="62" t="str">
        <f ca="1">IF(ISERROR(MATCH(E432,Код_КВР,0)),"",INDIRECT(ADDRESS(MATCH(E432,Код_КВР,0)+1,2,,,"КВР")))</f>
        <v>Субсидии бюджетным учреждениям</v>
      </c>
      <c r="B432" s="44" t="s">
        <v>536</v>
      </c>
      <c r="C432" s="8" t="s">
        <v>232</v>
      </c>
      <c r="D432" s="1" t="s">
        <v>221</v>
      </c>
      <c r="E432" s="115">
        <v>610</v>
      </c>
      <c r="F432" s="7">
        <f>F433</f>
        <v>15637.3</v>
      </c>
      <c r="G432" s="7">
        <f>G433</f>
        <v>0</v>
      </c>
      <c r="H432" s="36">
        <f t="shared" si="90"/>
        <v>15637.3</v>
      </c>
      <c r="I432" s="7">
        <f>I433</f>
        <v>0</v>
      </c>
      <c r="J432" s="36">
        <f t="shared" si="88"/>
        <v>15637.3</v>
      </c>
      <c r="K432" s="7">
        <f>K433</f>
        <v>0</v>
      </c>
      <c r="L432" s="36">
        <f t="shared" si="101"/>
        <v>15637.3</v>
      </c>
      <c r="M432" s="7">
        <f>M433</f>
        <v>0</v>
      </c>
      <c r="N432" s="36">
        <f t="shared" si="102"/>
        <v>15637.3</v>
      </c>
      <c r="O432" s="7">
        <f>O433</f>
        <v>-2986.3</v>
      </c>
      <c r="P432" s="36">
        <f t="shared" si="98"/>
        <v>12651</v>
      </c>
      <c r="Q432" s="7">
        <f>Q433</f>
        <v>-304.5</v>
      </c>
      <c r="R432" s="36">
        <f t="shared" si="99"/>
        <v>12346.5</v>
      </c>
    </row>
    <row r="433" spans="1:18" ht="49.5">
      <c r="A433" s="62" t="str">
        <f ca="1">IF(ISERROR(MATCH(E433,Код_КВР,0)),"",INDIRECT(ADDRESS(MATCH(E433,Код_КВР,0)+1,2,,,"КВР")))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3" s="44" t="s">
        <v>536</v>
      </c>
      <c r="C433" s="8" t="s">
        <v>232</v>
      </c>
      <c r="D433" s="1" t="s">
        <v>221</v>
      </c>
      <c r="E433" s="115">
        <v>611</v>
      </c>
      <c r="F433" s="7">
        <f>'прил.5'!G1183</f>
        <v>15637.3</v>
      </c>
      <c r="G433" s="7">
        <f>'прил.5'!H1183</f>
        <v>0</v>
      </c>
      <c r="H433" s="36">
        <f t="shared" si="90"/>
        <v>15637.3</v>
      </c>
      <c r="I433" s="7">
        <f>'прил.5'!J1183</f>
        <v>0</v>
      </c>
      <c r="J433" s="36">
        <f aca="true" t="shared" si="103" ref="J433:J497">H433+I433</f>
        <v>15637.3</v>
      </c>
      <c r="K433" s="7">
        <f>'прил.5'!L1183</f>
        <v>0</v>
      </c>
      <c r="L433" s="36">
        <f t="shared" si="101"/>
        <v>15637.3</v>
      </c>
      <c r="M433" s="7">
        <f>'прил.5'!N1183</f>
        <v>0</v>
      </c>
      <c r="N433" s="36">
        <f t="shared" si="102"/>
        <v>15637.3</v>
      </c>
      <c r="O433" s="7">
        <f>'прил.5'!P1183</f>
        <v>-2986.3</v>
      </c>
      <c r="P433" s="36">
        <f t="shared" si="98"/>
        <v>12651</v>
      </c>
      <c r="Q433" s="7">
        <f>'прил.5'!R1183</f>
        <v>-304.5</v>
      </c>
      <c r="R433" s="36">
        <f t="shared" si="99"/>
        <v>12346.5</v>
      </c>
    </row>
    <row r="434" spans="1:18" ht="12.75">
      <c r="A434" s="62" t="str">
        <f ca="1">IF(ISERROR(MATCH(E434,Код_КВР,0)),"",INDIRECT(ADDRESS(MATCH(E434,Код_КВР,0)+1,2,,,"КВР")))</f>
        <v>Субсидии автономным учреждениям</v>
      </c>
      <c r="B434" s="44" t="s">
        <v>536</v>
      </c>
      <c r="C434" s="8" t="s">
        <v>232</v>
      </c>
      <c r="D434" s="1" t="s">
        <v>221</v>
      </c>
      <c r="E434" s="115">
        <v>620</v>
      </c>
      <c r="F434" s="7">
        <f>F435</f>
        <v>2932</v>
      </c>
      <c r="G434" s="7">
        <f>G435</f>
        <v>0</v>
      </c>
      <c r="H434" s="36">
        <f t="shared" si="90"/>
        <v>2932</v>
      </c>
      <c r="I434" s="7">
        <f>I435</f>
        <v>0</v>
      </c>
      <c r="J434" s="36">
        <f t="shared" si="103"/>
        <v>2932</v>
      </c>
      <c r="K434" s="7">
        <f>K435</f>
        <v>0</v>
      </c>
      <c r="L434" s="36">
        <f t="shared" si="101"/>
        <v>2932</v>
      </c>
      <c r="M434" s="7">
        <f>M435</f>
        <v>0</v>
      </c>
      <c r="N434" s="36">
        <f t="shared" si="102"/>
        <v>2932</v>
      </c>
      <c r="O434" s="7">
        <f>O435</f>
        <v>-175.7</v>
      </c>
      <c r="P434" s="36">
        <f t="shared" si="98"/>
        <v>2756.3</v>
      </c>
      <c r="Q434" s="7">
        <f>Q435</f>
        <v>454.5</v>
      </c>
      <c r="R434" s="36">
        <f t="shared" si="99"/>
        <v>3210.8</v>
      </c>
    </row>
    <row r="435" spans="1:18" ht="49.5">
      <c r="A435" s="62" t="str">
        <f ca="1">IF(ISERROR(MATCH(E435,Код_КВР,0)),"",INDIRECT(ADDRESS(MATCH(E435,Код_КВР,0)+1,2,,,"КВР")))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35" s="44" t="s">
        <v>536</v>
      </c>
      <c r="C435" s="8" t="s">
        <v>232</v>
      </c>
      <c r="D435" s="1" t="s">
        <v>221</v>
      </c>
      <c r="E435" s="115">
        <v>621</v>
      </c>
      <c r="F435" s="7">
        <f>'прил.5'!G1185</f>
        <v>2932</v>
      </c>
      <c r="G435" s="7">
        <f>'прил.5'!H1185</f>
        <v>0</v>
      </c>
      <c r="H435" s="36">
        <f t="shared" si="90"/>
        <v>2932</v>
      </c>
      <c r="I435" s="7">
        <f>'прил.5'!J1185</f>
        <v>0</v>
      </c>
      <c r="J435" s="36">
        <f t="shared" si="103"/>
        <v>2932</v>
      </c>
      <c r="K435" s="7">
        <f>'прил.5'!L1185</f>
        <v>0</v>
      </c>
      <c r="L435" s="36">
        <f t="shared" si="101"/>
        <v>2932</v>
      </c>
      <c r="M435" s="7">
        <f>'прил.5'!N1185</f>
        <v>0</v>
      </c>
      <c r="N435" s="36">
        <f t="shared" si="102"/>
        <v>2932</v>
      </c>
      <c r="O435" s="7">
        <f>'прил.5'!P1185</f>
        <v>-175.7</v>
      </c>
      <c r="P435" s="36">
        <f t="shared" si="98"/>
        <v>2756.3</v>
      </c>
      <c r="Q435" s="7">
        <f>'прил.5'!R1185</f>
        <v>454.5</v>
      </c>
      <c r="R435" s="36">
        <f t="shared" si="99"/>
        <v>3210.8</v>
      </c>
    </row>
    <row r="436" spans="1:18" ht="12.75">
      <c r="A436" s="62" t="str">
        <f ca="1">IF(ISERROR(MATCH(B436,Код_КЦСР,0)),"",INDIRECT(ADDRESS(MATCH(B436,Код_КЦСР,0)+1,2,,,"КЦСР")))</f>
        <v>Реализация  дополнительных общеобразовательных программ</v>
      </c>
      <c r="B436" s="44" t="s">
        <v>537</v>
      </c>
      <c r="C436" s="8"/>
      <c r="D436" s="1"/>
      <c r="E436" s="115"/>
      <c r="F436" s="7">
        <f aca="true" t="shared" si="104" ref="F436:Q438">F437</f>
        <v>115476.5</v>
      </c>
      <c r="G436" s="7">
        <f t="shared" si="104"/>
        <v>908.8</v>
      </c>
      <c r="H436" s="36">
        <f t="shared" si="90"/>
        <v>116385.3</v>
      </c>
      <c r="I436" s="7">
        <f t="shared" si="104"/>
        <v>0</v>
      </c>
      <c r="J436" s="36">
        <f t="shared" si="103"/>
        <v>116385.3</v>
      </c>
      <c r="K436" s="7">
        <f t="shared" si="104"/>
        <v>-80.7</v>
      </c>
      <c r="L436" s="36">
        <f t="shared" si="101"/>
        <v>116304.6</v>
      </c>
      <c r="M436" s="7">
        <f t="shared" si="104"/>
        <v>0</v>
      </c>
      <c r="N436" s="36">
        <f t="shared" si="102"/>
        <v>116304.6</v>
      </c>
      <c r="O436" s="7">
        <f t="shared" si="104"/>
        <v>0</v>
      </c>
      <c r="P436" s="36">
        <f t="shared" si="98"/>
        <v>116304.6</v>
      </c>
      <c r="Q436" s="7">
        <f t="shared" si="104"/>
        <v>0</v>
      </c>
      <c r="R436" s="36">
        <f t="shared" si="99"/>
        <v>116304.6</v>
      </c>
    </row>
    <row r="437" spans="1:18" ht="12.75">
      <c r="A437" s="62" t="str">
        <f ca="1">IF(ISERROR(MATCH(C437,Код_Раздел,0)),"",INDIRECT(ADDRESS(MATCH(C437,Код_Раздел,0)+1,2,,,"Раздел")))</f>
        <v>Образование</v>
      </c>
      <c r="B437" s="44" t="s">
        <v>537</v>
      </c>
      <c r="C437" s="8" t="s">
        <v>203</v>
      </c>
      <c r="D437" s="1"/>
      <c r="E437" s="115"/>
      <c r="F437" s="7">
        <f t="shared" si="104"/>
        <v>115476.5</v>
      </c>
      <c r="G437" s="7">
        <f t="shared" si="104"/>
        <v>908.8</v>
      </c>
      <c r="H437" s="36">
        <f t="shared" si="90"/>
        <v>116385.3</v>
      </c>
      <c r="I437" s="7">
        <f t="shared" si="104"/>
        <v>0</v>
      </c>
      <c r="J437" s="36">
        <f t="shared" si="103"/>
        <v>116385.3</v>
      </c>
      <c r="K437" s="7">
        <f t="shared" si="104"/>
        <v>-80.7</v>
      </c>
      <c r="L437" s="36">
        <f t="shared" si="101"/>
        <v>116304.6</v>
      </c>
      <c r="M437" s="7">
        <f t="shared" si="104"/>
        <v>0</v>
      </c>
      <c r="N437" s="36">
        <f t="shared" si="102"/>
        <v>116304.6</v>
      </c>
      <c r="O437" s="7">
        <f t="shared" si="104"/>
        <v>0</v>
      </c>
      <c r="P437" s="36">
        <f t="shared" si="98"/>
        <v>116304.6</v>
      </c>
      <c r="Q437" s="7">
        <f t="shared" si="104"/>
        <v>0</v>
      </c>
      <c r="R437" s="36">
        <f t="shared" si="99"/>
        <v>116304.6</v>
      </c>
    </row>
    <row r="438" spans="1:18" ht="12.75">
      <c r="A438" s="12" t="s">
        <v>258</v>
      </c>
      <c r="B438" s="44" t="s">
        <v>537</v>
      </c>
      <c r="C438" s="8" t="s">
        <v>203</v>
      </c>
      <c r="D438" s="1" t="s">
        <v>222</v>
      </c>
      <c r="E438" s="115"/>
      <c r="F438" s="7">
        <f t="shared" si="104"/>
        <v>115476.5</v>
      </c>
      <c r="G438" s="7">
        <f t="shared" si="104"/>
        <v>908.8</v>
      </c>
      <c r="H438" s="36">
        <f t="shared" si="90"/>
        <v>116385.3</v>
      </c>
      <c r="I438" s="7">
        <f t="shared" si="104"/>
        <v>0</v>
      </c>
      <c r="J438" s="36">
        <f t="shared" si="103"/>
        <v>116385.3</v>
      </c>
      <c r="K438" s="7">
        <f t="shared" si="104"/>
        <v>-80.7</v>
      </c>
      <c r="L438" s="36">
        <f t="shared" si="101"/>
        <v>116304.6</v>
      </c>
      <c r="M438" s="7">
        <f t="shared" si="104"/>
        <v>0</v>
      </c>
      <c r="N438" s="36">
        <f t="shared" si="102"/>
        <v>116304.6</v>
      </c>
      <c r="O438" s="7">
        <f t="shared" si="104"/>
        <v>0</v>
      </c>
      <c r="P438" s="36">
        <f t="shared" si="98"/>
        <v>116304.6</v>
      </c>
      <c r="Q438" s="7">
        <f t="shared" si="104"/>
        <v>0</v>
      </c>
      <c r="R438" s="36">
        <f t="shared" si="99"/>
        <v>116304.6</v>
      </c>
    </row>
    <row r="439" spans="1:18" ht="33">
      <c r="A439" s="62" t="str">
        <f ca="1">IF(ISERROR(MATCH(E439,Код_КВР,0)),"",INDIRECT(ADDRESS(MATCH(E439,Код_КВР,0)+1,2,,,"КВР")))</f>
        <v>Предоставление субсидий бюджетным, автономным учреждениям и иным некоммерческим организациям</v>
      </c>
      <c r="B439" s="44" t="s">
        <v>537</v>
      </c>
      <c r="C439" s="8" t="s">
        <v>203</v>
      </c>
      <c r="D439" s="1" t="s">
        <v>222</v>
      </c>
      <c r="E439" s="115">
        <v>600</v>
      </c>
      <c r="F439" s="7">
        <f>F440+F442</f>
        <v>115476.5</v>
      </c>
      <c r="G439" s="7">
        <f>G440+G442</f>
        <v>908.8</v>
      </c>
      <c r="H439" s="36">
        <f t="shared" si="90"/>
        <v>116385.3</v>
      </c>
      <c r="I439" s="7">
        <f>I440+I442</f>
        <v>0</v>
      </c>
      <c r="J439" s="36">
        <f t="shared" si="103"/>
        <v>116385.3</v>
      </c>
      <c r="K439" s="7">
        <f>K440+K442</f>
        <v>-80.7</v>
      </c>
      <c r="L439" s="36">
        <f t="shared" si="101"/>
        <v>116304.6</v>
      </c>
      <c r="M439" s="7">
        <f>M440+M442</f>
        <v>0</v>
      </c>
      <c r="N439" s="36">
        <f t="shared" si="102"/>
        <v>116304.6</v>
      </c>
      <c r="O439" s="7">
        <f>O440+O442</f>
        <v>0</v>
      </c>
      <c r="P439" s="36">
        <f t="shared" si="98"/>
        <v>116304.6</v>
      </c>
      <c r="Q439" s="7">
        <f>Q440+Q442</f>
        <v>0</v>
      </c>
      <c r="R439" s="36">
        <f t="shared" si="99"/>
        <v>116304.6</v>
      </c>
    </row>
    <row r="440" spans="1:18" ht="12.75">
      <c r="A440" s="62" t="str">
        <f ca="1">IF(ISERROR(MATCH(E440,Код_КВР,0)),"",INDIRECT(ADDRESS(MATCH(E440,Код_КВР,0)+1,2,,,"КВР")))</f>
        <v>Субсидии бюджетным учреждениям</v>
      </c>
      <c r="B440" s="44" t="s">
        <v>537</v>
      </c>
      <c r="C440" s="8" t="s">
        <v>203</v>
      </c>
      <c r="D440" s="1" t="s">
        <v>222</v>
      </c>
      <c r="E440" s="115">
        <v>610</v>
      </c>
      <c r="F440" s="7">
        <f>F441</f>
        <v>98039.6</v>
      </c>
      <c r="G440" s="7">
        <f>G441</f>
        <v>908.8</v>
      </c>
      <c r="H440" s="36">
        <f t="shared" si="90"/>
        <v>98948.40000000001</v>
      </c>
      <c r="I440" s="7">
        <f>I441</f>
        <v>0</v>
      </c>
      <c r="J440" s="36">
        <f t="shared" si="103"/>
        <v>98948.40000000001</v>
      </c>
      <c r="K440" s="7">
        <f>K441</f>
        <v>-73.2</v>
      </c>
      <c r="L440" s="36">
        <f t="shared" si="101"/>
        <v>98875.20000000001</v>
      </c>
      <c r="M440" s="7">
        <f>M441</f>
        <v>0</v>
      </c>
      <c r="N440" s="36">
        <f t="shared" si="102"/>
        <v>98875.20000000001</v>
      </c>
      <c r="O440" s="7">
        <f>O441</f>
        <v>0</v>
      </c>
      <c r="P440" s="36">
        <f t="shared" si="98"/>
        <v>98875.20000000001</v>
      </c>
      <c r="Q440" s="7">
        <f>Q441</f>
        <v>-854.3</v>
      </c>
      <c r="R440" s="36">
        <f t="shared" si="99"/>
        <v>98020.90000000001</v>
      </c>
    </row>
    <row r="441" spans="1:18" ht="49.5">
      <c r="A441" s="62" t="str">
        <f ca="1">IF(ISERROR(MATCH(E441,Код_КВР,0)),"",INDIRECT(ADDRESS(MATCH(E441,Код_КВР,0)+1,2,,,"КВР")))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1" s="44" t="s">
        <v>537</v>
      </c>
      <c r="C441" s="8" t="s">
        <v>203</v>
      </c>
      <c r="D441" s="1" t="s">
        <v>222</v>
      </c>
      <c r="E441" s="115">
        <v>611</v>
      </c>
      <c r="F441" s="7">
        <f>'прил.5'!G1144</f>
        <v>98039.6</v>
      </c>
      <c r="G441" s="7">
        <f>'прил.5'!H1144</f>
        <v>908.8</v>
      </c>
      <c r="H441" s="36">
        <f aca="true" t="shared" si="105" ref="H441:H505">F441+G441</f>
        <v>98948.40000000001</v>
      </c>
      <c r="I441" s="7">
        <f>'прил.5'!J1144</f>
        <v>0</v>
      </c>
      <c r="J441" s="36">
        <f t="shared" si="103"/>
        <v>98948.40000000001</v>
      </c>
      <c r="K441" s="7">
        <f>'прил.5'!L1144</f>
        <v>-73.2</v>
      </c>
      <c r="L441" s="36">
        <f t="shared" si="101"/>
        <v>98875.20000000001</v>
      </c>
      <c r="M441" s="7">
        <f>'прил.5'!N1144</f>
        <v>0</v>
      </c>
      <c r="N441" s="36">
        <f t="shared" si="102"/>
        <v>98875.20000000001</v>
      </c>
      <c r="O441" s="7">
        <f>'прил.5'!P1144</f>
        <v>0</v>
      </c>
      <c r="P441" s="36">
        <f t="shared" si="98"/>
        <v>98875.20000000001</v>
      </c>
      <c r="Q441" s="7">
        <f>'прил.5'!R1144</f>
        <v>-854.3</v>
      </c>
      <c r="R441" s="36">
        <f t="shared" si="99"/>
        <v>98020.90000000001</v>
      </c>
    </row>
    <row r="442" spans="1:18" ht="12.75">
      <c r="A442" s="62" t="str">
        <f ca="1">IF(ISERROR(MATCH(E442,Код_КВР,0)),"",INDIRECT(ADDRESS(MATCH(E442,Код_КВР,0)+1,2,,,"КВР")))</f>
        <v>Субсидии автономным учреждениям</v>
      </c>
      <c r="B442" s="44" t="s">
        <v>537</v>
      </c>
      <c r="C442" s="8" t="s">
        <v>203</v>
      </c>
      <c r="D442" s="1" t="s">
        <v>222</v>
      </c>
      <c r="E442" s="115">
        <v>620</v>
      </c>
      <c r="F442" s="7">
        <f>F443</f>
        <v>17436.9</v>
      </c>
      <c r="G442" s="7">
        <f>G443</f>
        <v>0</v>
      </c>
      <c r="H442" s="36">
        <f t="shared" si="105"/>
        <v>17436.9</v>
      </c>
      <c r="I442" s="7">
        <f>I443</f>
        <v>0</v>
      </c>
      <c r="J442" s="36">
        <f t="shared" si="103"/>
        <v>17436.9</v>
      </c>
      <c r="K442" s="7">
        <f>K443</f>
        <v>-7.5</v>
      </c>
      <c r="L442" s="36">
        <f t="shared" si="101"/>
        <v>17429.4</v>
      </c>
      <c r="M442" s="7">
        <f>M443</f>
        <v>0</v>
      </c>
      <c r="N442" s="36">
        <f t="shared" si="102"/>
        <v>17429.4</v>
      </c>
      <c r="O442" s="7">
        <f>O443</f>
        <v>0</v>
      </c>
      <c r="P442" s="36">
        <f t="shared" si="98"/>
        <v>17429.4</v>
      </c>
      <c r="Q442" s="7">
        <f>Q443</f>
        <v>854.3</v>
      </c>
      <c r="R442" s="36">
        <f t="shared" si="99"/>
        <v>18283.7</v>
      </c>
    </row>
    <row r="443" spans="1:18" ht="49.5">
      <c r="A443" s="62" t="str">
        <f ca="1">IF(ISERROR(MATCH(E443,Код_КВР,0)),"",INDIRECT(ADDRESS(MATCH(E443,Код_КВР,0)+1,2,,,"КВР")))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43" s="44" t="s">
        <v>537</v>
      </c>
      <c r="C443" s="8" t="s">
        <v>203</v>
      </c>
      <c r="D443" s="1" t="s">
        <v>222</v>
      </c>
      <c r="E443" s="115">
        <v>621</v>
      </c>
      <c r="F443" s="7">
        <f>'прил.5'!G1146</f>
        <v>17436.9</v>
      </c>
      <c r="G443" s="7">
        <f>'прил.5'!H1146</f>
        <v>0</v>
      </c>
      <c r="H443" s="36">
        <f t="shared" si="105"/>
        <v>17436.9</v>
      </c>
      <c r="I443" s="7">
        <f>'прил.5'!J1146</f>
        <v>0</v>
      </c>
      <c r="J443" s="36">
        <f t="shared" si="103"/>
        <v>17436.9</v>
      </c>
      <c r="K443" s="7">
        <f>'прил.5'!L1146</f>
        <v>-7.5</v>
      </c>
      <c r="L443" s="36">
        <f t="shared" si="101"/>
        <v>17429.4</v>
      </c>
      <c r="M443" s="7">
        <f>'прил.5'!N1146</f>
        <v>0</v>
      </c>
      <c r="N443" s="36">
        <f t="shared" si="102"/>
        <v>17429.4</v>
      </c>
      <c r="O443" s="7">
        <f>'прил.5'!P1146</f>
        <v>0</v>
      </c>
      <c r="P443" s="36">
        <f t="shared" si="98"/>
        <v>17429.4</v>
      </c>
      <c r="Q443" s="7">
        <f>'прил.5'!R1146</f>
        <v>854.3</v>
      </c>
      <c r="R443" s="36">
        <f t="shared" si="99"/>
        <v>18283.7</v>
      </c>
    </row>
    <row r="444" spans="1:18" ht="33">
      <c r="A444" s="62" t="str">
        <f ca="1">IF(ISERROR(MATCH(B444,Код_КЦСР,0)),"",INDIRECT(ADDRESS(MATCH(B444,Код_КЦСР,0)+1,2,,,"КЦСР")))</f>
        <v>Организация и ведение бухгалтерского (бюджетного) учета и отчетности</v>
      </c>
      <c r="B444" s="44" t="s">
        <v>538</v>
      </c>
      <c r="C444" s="8"/>
      <c r="D444" s="1"/>
      <c r="E444" s="115"/>
      <c r="F444" s="7">
        <f aca="true" t="shared" si="106" ref="F444:Q448">F445</f>
        <v>3827.4</v>
      </c>
      <c r="G444" s="7">
        <f t="shared" si="106"/>
        <v>0</v>
      </c>
      <c r="H444" s="36">
        <f t="shared" si="105"/>
        <v>3827.4</v>
      </c>
      <c r="I444" s="7">
        <f t="shared" si="106"/>
        <v>0</v>
      </c>
      <c r="J444" s="36">
        <f t="shared" si="103"/>
        <v>3827.4</v>
      </c>
      <c r="K444" s="7">
        <f t="shared" si="106"/>
        <v>0</v>
      </c>
      <c r="L444" s="36">
        <f t="shared" si="101"/>
        <v>3827.4</v>
      </c>
      <c r="M444" s="7">
        <f t="shared" si="106"/>
        <v>0</v>
      </c>
      <c r="N444" s="36">
        <f t="shared" si="102"/>
        <v>3827.4</v>
      </c>
      <c r="O444" s="7">
        <f t="shared" si="106"/>
        <v>0</v>
      </c>
      <c r="P444" s="36">
        <f t="shared" si="98"/>
        <v>3827.4</v>
      </c>
      <c r="Q444" s="7">
        <f t="shared" si="106"/>
        <v>0</v>
      </c>
      <c r="R444" s="36">
        <f t="shared" si="99"/>
        <v>3827.4</v>
      </c>
    </row>
    <row r="445" spans="1:18" ht="12.75">
      <c r="A445" s="62" t="str">
        <f ca="1">IF(ISERROR(MATCH(C445,Код_Раздел,0)),"",INDIRECT(ADDRESS(MATCH(C445,Код_Раздел,0)+1,2,,,"Раздел")))</f>
        <v>Физическая культура и спорт</v>
      </c>
      <c r="B445" s="44" t="s">
        <v>538</v>
      </c>
      <c r="C445" s="8" t="s">
        <v>232</v>
      </c>
      <c r="D445" s="1"/>
      <c r="E445" s="115"/>
      <c r="F445" s="7">
        <f t="shared" si="106"/>
        <v>3827.4</v>
      </c>
      <c r="G445" s="7">
        <f t="shared" si="106"/>
        <v>0</v>
      </c>
      <c r="H445" s="36">
        <f t="shared" si="105"/>
        <v>3827.4</v>
      </c>
      <c r="I445" s="7">
        <f t="shared" si="106"/>
        <v>0</v>
      </c>
      <c r="J445" s="36">
        <f t="shared" si="103"/>
        <v>3827.4</v>
      </c>
      <c r="K445" s="7">
        <f t="shared" si="106"/>
        <v>0</v>
      </c>
      <c r="L445" s="36">
        <f t="shared" si="101"/>
        <v>3827.4</v>
      </c>
      <c r="M445" s="7">
        <f t="shared" si="106"/>
        <v>0</v>
      </c>
      <c r="N445" s="36">
        <f t="shared" si="102"/>
        <v>3827.4</v>
      </c>
      <c r="O445" s="7">
        <f t="shared" si="106"/>
        <v>0</v>
      </c>
      <c r="P445" s="36">
        <f t="shared" si="98"/>
        <v>3827.4</v>
      </c>
      <c r="Q445" s="7">
        <f t="shared" si="106"/>
        <v>0</v>
      </c>
      <c r="R445" s="36">
        <f t="shared" si="99"/>
        <v>3827.4</v>
      </c>
    </row>
    <row r="446" spans="1:18" ht="12.75">
      <c r="A446" s="12" t="s">
        <v>200</v>
      </c>
      <c r="B446" s="44" t="s">
        <v>538</v>
      </c>
      <c r="C446" s="8" t="s">
        <v>232</v>
      </c>
      <c r="D446" s="1" t="s">
        <v>229</v>
      </c>
      <c r="E446" s="115"/>
      <c r="F446" s="7">
        <f t="shared" si="106"/>
        <v>3827.4</v>
      </c>
      <c r="G446" s="7">
        <f t="shared" si="106"/>
        <v>0</v>
      </c>
      <c r="H446" s="36">
        <f t="shared" si="105"/>
        <v>3827.4</v>
      </c>
      <c r="I446" s="7">
        <f t="shared" si="106"/>
        <v>0</v>
      </c>
      <c r="J446" s="36">
        <f t="shared" si="103"/>
        <v>3827.4</v>
      </c>
      <c r="K446" s="7">
        <f t="shared" si="106"/>
        <v>0</v>
      </c>
      <c r="L446" s="36">
        <f t="shared" si="101"/>
        <v>3827.4</v>
      </c>
      <c r="M446" s="7">
        <f t="shared" si="106"/>
        <v>0</v>
      </c>
      <c r="N446" s="36">
        <f t="shared" si="102"/>
        <v>3827.4</v>
      </c>
      <c r="O446" s="7">
        <f t="shared" si="106"/>
        <v>0</v>
      </c>
      <c r="P446" s="36">
        <f t="shared" si="98"/>
        <v>3827.4</v>
      </c>
      <c r="Q446" s="7">
        <f t="shared" si="106"/>
        <v>0</v>
      </c>
      <c r="R446" s="36">
        <f t="shared" si="99"/>
        <v>3827.4</v>
      </c>
    </row>
    <row r="447" spans="1:18" ht="33">
      <c r="A447" s="62" t="str">
        <f ca="1">IF(ISERROR(MATCH(E447,Код_КВР,0)),"",INDIRECT(ADDRESS(MATCH(E447,Код_КВР,0)+1,2,,,"КВР")))</f>
        <v>Предоставление субсидий бюджетным, автономным учреждениям и иным некоммерческим организациям</v>
      </c>
      <c r="B447" s="44" t="s">
        <v>538</v>
      </c>
      <c r="C447" s="8" t="s">
        <v>232</v>
      </c>
      <c r="D447" s="1" t="s">
        <v>229</v>
      </c>
      <c r="E447" s="115">
        <v>600</v>
      </c>
      <c r="F447" s="7">
        <f t="shared" si="106"/>
        <v>3827.4</v>
      </c>
      <c r="G447" s="7">
        <f t="shared" si="106"/>
        <v>0</v>
      </c>
      <c r="H447" s="36">
        <f t="shared" si="105"/>
        <v>3827.4</v>
      </c>
      <c r="I447" s="7">
        <f t="shared" si="106"/>
        <v>0</v>
      </c>
      <c r="J447" s="36">
        <f t="shared" si="103"/>
        <v>3827.4</v>
      </c>
      <c r="K447" s="7">
        <f t="shared" si="106"/>
        <v>0</v>
      </c>
      <c r="L447" s="36">
        <f t="shared" si="101"/>
        <v>3827.4</v>
      </c>
      <c r="M447" s="7">
        <f t="shared" si="106"/>
        <v>0</v>
      </c>
      <c r="N447" s="36">
        <f t="shared" si="102"/>
        <v>3827.4</v>
      </c>
      <c r="O447" s="7">
        <f t="shared" si="106"/>
        <v>0</v>
      </c>
      <c r="P447" s="36">
        <f t="shared" si="98"/>
        <v>3827.4</v>
      </c>
      <c r="Q447" s="7">
        <f t="shared" si="106"/>
        <v>0</v>
      </c>
      <c r="R447" s="36">
        <f t="shared" si="99"/>
        <v>3827.4</v>
      </c>
    </row>
    <row r="448" spans="1:18" ht="12.75">
      <c r="A448" s="62" t="str">
        <f ca="1">IF(ISERROR(MATCH(E448,Код_КВР,0)),"",INDIRECT(ADDRESS(MATCH(E448,Код_КВР,0)+1,2,,,"КВР")))</f>
        <v>Субсидии бюджетным учреждениям</v>
      </c>
      <c r="B448" s="44" t="s">
        <v>538</v>
      </c>
      <c r="C448" s="8" t="s">
        <v>232</v>
      </c>
      <c r="D448" s="1" t="s">
        <v>229</v>
      </c>
      <c r="E448" s="115">
        <v>610</v>
      </c>
      <c r="F448" s="7">
        <f t="shared" si="106"/>
        <v>3827.4</v>
      </c>
      <c r="G448" s="7">
        <f t="shared" si="106"/>
        <v>0</v>
      </c>
      <c r="H448" s="36">
        <f t="shared" si="105"/>
        <v>3827.4</v>
      </c>
      <c r="I448" s="7">
        <f t="shared" si="106"/>
        <v>0</v>
      </c>
      <c r="J448" s="36">
        <f t="shared" si="103"/>
        <v>3827.4</v>
      </c>
      <c r="K448" s="7">
        <f t="shared" si="106"/>
        <v>0</v>
      </c>
      <c r="L448" s="36">
        <f t="shared" si="101"/>
        <v>3827.4</v>
      </c>
      <c r="M448" s="7">
        <f t="shared" si="106"/>
        <v>0</v>
      </c>
      <c r="N448" s="36">
        <f t="shared" si="102"/>
        <v>3827.4</v>
      </c>
      <c r="O448" s="7">
        <f t="shared" si="106"/>
        <v>0</v>
      </c>
      <c r="P448" s="36">
        <f t="shared" si="98"/>
        <v>3827.4</v>
      </c>
      <c r="Q448" s="7">
        <f t="shared" si="106"/>
        <v>0</v>
      </c>
      <c r="R448" s="36">
        <f t="shared" si="99"/>
        <v>3827.4</v>
      </c>
    </row>
    <row r="449" spans="1:18" ht="52.7" customHeight="1">
      <c r="A449" s="62" t="str">
        <f ca="1">IF(ISERROR(MATCH(E449,Код_КВР,0)),"",INDIRECT(ADDRESS(MATCH(E449,Код_КВР,0)+1,2,,,"КВР")))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9" s="44" t="s">
        <v>538</v>
      </c>
      <c r="C449" s="8" t="s">
        <v>232</v>
      </c>
      <c r="D449" s="1" t="s">
        <v>229</v>
      </c>
      <c r="E449" s="115">
        <v>611</v>
      </c>
      <c r="F449" s="7">
        <f>'прил.5'!G1221</f>
        <v>3827.4</v>
      </c>
      <c r="G449" s="7">
        <f>'прил.5'!H1221</f>
        <v>0</v>
      </c>
      <c r="H449" s="36">
        <f t="shared" si="105"/>
        <v>3827.4</v>
      </c>
      <c r="I449" s="7">
        <f>'прил.5'!J1221</f>
        <v>0</v>
      </c>
      <c r="J449" s="36">
        <f t="shared" si="103"/>
        <v>3827.4</v>
      </c>
      <c r="K449" s="7">
        <f>'прил.5'!L1221</f>
        <v>0</v>
      </c>
      <c r="L449" s="36">
        <f t="shared" si="101"/>
        <v>3827.4</v>
      </c>
      <c r="M449" s="7">
        <f>'прил.5'!N1221</f>
        <v>0</v>
      </c>
      <c r="N449" s="36">
        <f t="shared" si="102"/>
        <v>3827.4</v>
      </c>
      <c r="O449" s="7">
        <f>'прил.5'!P1221</f>
        <v>0</v>
      </c>
      <c r="P449" s="36">
        <f t="shared" si="98"/>
        <v>3827.4</v>
      </c>
      <c r="Q449" s="7">
        <f>'прил.5'!R1221</f>
        <v>0</v>
      </c>
      <c r="R449" s="36">
        <f t="shared" si="99"/>
        <v>3827.4</v>
      </c>
    </row>
    <row r="450" spans="1:18" ht="12.75">
      <c r="A450" s="62" t="str">
        <f ca="1">IF(ISERROR(MATCH(B450,Код_КЦСР,0)),"",INDIRECT(ADDRESS(MATCH(B450,Код_КЦСР,0)+1,2,,,"КЦСР")))</f>
        <v>Популяризация физической культуры и спорта</v>
      </c>
      <c r="B450" s="44" t="s">
        <v>539</v>
      </c>
      <c r="C450" s="8"/>
      <c r="D450" s="1"/>
      <c r="E450" s="115"/>
      <c r="F450" s="7">
        <f>F451</f>
        <v>4638.1</v>
      </c>
      <c r="G450" s="7">
        <f>G451</f>
        <v>0</v>
      </c>
      <c r="H450" s="36">
        <f t="shared" si="105"/>
        <v>4638.1</v>
      </c>
      <c r="I450" s="7">
        <f>I451</f>
        <v>0</v>
      </c>
      <c r="J450" s="36">
        <f t="shared" si="103"/>
        <v>4638.1</v>
      </c>
      <c r="K450" s="7">
        <f>K451</f>
        <v>0</v>
      </c>
      <c r="L450" s="36">
        <f t="shared" si="101"/>
        <v>4638.1</v>
      </c>
      <c r="M450" s="7">
        <f>M451</f>
        <v>0</v>
      </c>
      <c r="N450" s="36">
        <f t="shared" si="102"/>
        <v>4638.1</v>
      </c>
      <c r="O450" s="7">
        <f>O451</f>
        <v>-797.5</v>
      </c>
      <c r="P450" s="36">
        <f t="shared" si="98"/>
        <v>3840.6000000000004</v>
      </c>
      <c r="Q450" s="7">
        <f>Q451</f>
        <v>-149.99999999999994</v>
      </c>
      <c r="R450" s="36">
        <f t="shared" si="99"/>
        <v>3690.6000000000004</v>
      </c>
    </row>
    <row r="451" spans="1:18" ht="12.75">
      <c r="A451" s="62" t="str">
        <f ca="1">IF(ISERROR(MATCH(C451,Код_Раздел,0)),"",INDIRECT(ADDRESS(MATCH(C451,Код_Раздел,0)+1,2,,,"Раздел")))</f>
        <v>Физическая культура и спорт</v>
      </c>
      <c r="B451" s="44" t="s">
        <v>539</v>
      </c>
      <c r="C451" s="8" t="s">
        <v>232</v>
      </c>
      <c r="D451" s="1"/>
      <c r="E451" s="115"/>
      <c r="F451" s="7">
        <f>F452</f>
        <v>4638.1</v>
      </c>
      <c r="G451" s="7">
        <f>G452</f>
        <v>0</v>
      </c>
      <c r="H451" s="36">
        <f t="shared" si="105"/>
        <v>4638.1</v>
      </c>
      <c r="I451" s="7">
        <f>I452</f>
        <v>0</v>
      </c>
      <c r="J451" s="36">
        <f t="shared" si="103"/>
        <v>4638.1</v>
      </c>
      <c r="K451" s="7">
        <f>K452</f>
        <v>0</v>
      </c>
      <c r="L451" s="36">
        <f t="shared" si="101"/>
        <v>4638.1</v>
      </c>
      <c r="M451" s="7">
        <f>M452</f>
        <v>0</v>
      </c>
      <c r="N451" s="36">
        <f t="shared" si="102"/>
        <v>4638.1</v>
      </c>
      <c r="O451" s="7">
        <f>O452</f>
        <v>-797.5</v>
      </c>
      <c r="P451" s="36">
        <f t="shared" si="98"/>
        <v>3840.6000000000004</v>
      </c>
      <c r="Q451" s="7">
        <f>Q452</f>
        <v>-149.99999999999994</v>
      </c>
      <c r="R451" s="36">
        <f t="shared" si="99"/>
        <v>3690.6000000000004</v>
      </c>
    </row>
    <row r="452" spans="1:18" ht="12.75">
      <c r="A452" s="12" t="s">
        <v>194</v>
      </c>
      <c r="B452" s="44" t="s">
        <v>539</v>
      </c>
      <c r="C452" s="8" t="s">
        <v>232</v>
      </c>
      <c r="D452" s="1" t="s">
        <v>221</v>
      </c>
      <c r="E452" s="115"/>
      <c r="F452" s="7">
        <f>F453+F456</f>
        <v>4638.1</v>
      </c>
      <c r="G452" s="7">
        <f>G453+G456</f>
        <v>0</v>
      </c>
      <c r="H452" s="36">
        <f t="shared" si="105"/>
        <v>4638.1</v>
      </c>
      <c r="I452" s="7">
        <f>I453+I456</f>
        <v>0</v>
      </c>
      <c r="J452" s="36">
        <f t="shared" si="103"/>
        <v>4638.1</v>
      </c>
      <c r="K452" s="7">
        <f>K453+K456</f>
        <v>0</v>
      </c>
      <c r="L452" s="36">
        <f t="shared" si="101"/>
        <v>4638.1</v>
      </c>
      <c r="M452" s="7">
        <f>M453+M456</f>
        <v>0</v>
      </c>
      <c r="N452" s="36">
        <f t="shared" si="102"/>
        <v>4638.1</v>
      </c>
      <c r="O452" s="7">
        <f>O453+O456</f>
        <v>-797.5</v>
      </c>
      <c r="P452" s="36">
        <f t="shared" si="98"/>
        <v>3840.6000000000004</v>
      </c>
      <c r="Q452" s="7">
        <f>Q453+Q456</f>
        <v>-149.99999999999994</v>
      </c>
      <c r="R452" s="36">
        <f t="shared" si="99"/>
        <v>3690.6000000000004</v>
      </c>
    </row>
    <row r="453" spans="1:18" ht="12.75">
      <c r="A453" s="62" t="str">
        <f aca="true" t="shared" si="107" ref="A453:A460">IF(ISERROR(MATCH(E453,Код_КВР,0)),"",INDIRECT(ADDRESS(MATCH(E453,Код_КВР,0)+1,2,,,"КВР")))</f>
        <v>Закупка товаров, работ и услуг для муниципальных нужд</v>
      </c>
      <c r="B453" s="44" t="s">
        <v>539</v>
      </c>
      <c r="C453" s="8" t="s">
        <v>232</v>
      </c>
      <c r="D453" s="1" t="s">
        <v>221</v>
      </c>
      <c r="E453" s="115">
        <v>200</v>
      </c>
      <c r="F453" s="7">
        <f>F454</f>
        <v>622.8</v>
      </c>
      <c r="G453" s="7">
        <f>G454</f>
        <v>0</v>
      </c>
      <c r="H453" s="36">
        <f t="shared" si="105"/>
        <v>622.8</v>
      </c>
      <c r="I453" s="7">
        <f>I454</f>
        <v>0</v>
      </c>
      <c r="J453" s="36">
        <f t="shared" si="103"/>
        <v>622.8</v>
      </c>
      <c r="K453" s="7">
        <f>K454</f>
        <v>0</v>
      </c>
      <c r="L453" s="36">
        <f t="shared" si="101"/>
        <v>622.8</v>
      </c>
      <c r="M453" s="7">
        <f>M454</f>
        <v>0</v>
      </c>
      <c r="N453" s="36">
        <f t="shared" si="102"/>
        <v>622.8</v>
      </c>
      <c r="O453" s="7">
        <f>O454</f>
        <v>0</v>
      </c>
      <c r="P453" s="36">
        <f t="shared" si="98"/>
        <v>622.8</v>
      </c>
      <c r="Q453" s="7">
        <f>Q454</f>
        <v>-592.8</v>
      </c>
      <c r="R453" s="36">
        <f t="shared" si="99"/>
        <v>30</v>
      </c>
    </row>
    <row r="454" spans="1:18" ht="35.25" customHeight="1">
      <c r="A454" s="62" t="str">
        <f ca="1" t="shared" si="107"/>
        <v>Иные закупки товаров, работ и услуг для обеспечения муниципальных нужд</v>
      </c>
      <c r="B454" s="44" t="s">
        <v>539</v>
      </c>
      <c r="C454" s="8" t="s">
        <v>232</v>
      </c>
      <c r="D454" s="1" t="s">
        <v>221</v>
      </c>
      <c r="E454" s="115">
        <v>240</v>
      </c>
      <c r="F454" s="7">
        <f>F455</f>
        <v>622.8</v>
      </c>
      <c r="G454" s="7">
        <f>G455</f>
        <v>0</v>
      </c>
      <c r="H454" s="36">
        <f t="shared" si="105"/>
        <v>622.8</v>
      </c>
      <c r="I454" s="7">
        <f>I455</f>
        <v>0</v>
      </c>
      <c r="J454" s="36">
        <f t="shared" si="103"/>
        <v>622.8</v>
      </c>
      <c r="K454" s="7">
        <f>K455</f>
        <v>0</v>
      </c>
      <c r="L454" s="36">
        <f t="shared" si="101"/>
        <v>622.8</v>
      </c>
      <c r="M454" s="7">
        <f>M455</f>
        <v>0</v>
      </c>
      <c r="N454" s="36">
        <f t="shared" si="102"/>
        <v>622.8</v>
      </c>
      <c r="O454" s="7">
        <f>O455</f>
        <v>0</v>
      </c>
      <c r="P454" s="36">
        <f t="shared" si="98"/>
        <v>622.8</v>
      </c>
      <c r="Q454" s="7">
        <f>Q455</f>
        <v>-592.8</v>
      </c>
      <c r="R454" s="36">
        <f t="shared" si="99"/>
        <v>30</v>
      </c>
    </row>
    <row r="455" spans="1:18" ht="36" customHeight="1">
      <c r="A455" s="62" t="str">
        <f ca="1" t="shared" si="107"/>
        <v xml:space="preserve">Прочая закупка товаров, работ и услуг для обеспечения муниципальных нужд         </v>
      </c>
      <c r="B455" s="44" t="s">
        <v>539</v>
      </c>
      <c r="C455" s="8" t="s">
        <v>232</v>
      </c>
      <c r="D455" s="1" t="s">
        <v>221</v>
      </c>
      <c r="E455" s="115">
        <v>244</v>
      </c>
      <c r="F455" s="7">
        <f>'прил.5'!G1189</f>
        <v>622.8</v>
      </c>
      <c r="G455" s="7">
        <f>'прил.5'!H1189</f>
        <v>0</v>
      </c>
      <c r="H455" s="36">
        <f t="shared" si="105"/>
        <v>622.8</v>
      </c>
      <c r="I455" s="7">
        <f>'прил.5'!J1189</f>
        <v>0</v>
      </c>
      <c r="J455" s="36">
        <f t="shared" si="103"/>
        <v>622.8</v>
      </c>
      <c r="K455" s="7">
        <f>'прил.5'!L1189</f>
        <v>0</v>
      </c>
      <c r="L455" s="36">
        <f t="shared" si="101"/>
        <v>622.8</v>
      </c>
      <c r="M455" s="7">
        <f>'прил.5'!N1189</f>
        <v>0</v>
      </c>
      <c r="N455" s="36">
        <f t="shared" si="102"/>
        <v>622.8</v>
      </c>
      <c r="O455" s="7">
        <f>'прил.5'!P1189</f>
        <v>0</v>
      </c>
      <c r="P455" s="36">
        <f t="shared" si="98"/>
        <v>622.8</v>
      </c>
      <c r="Q455" s="7">
        <f>'прил.5'!R1189</f>
        <v>-592.8</v>
      </c>
      <c r="R455" s="36">
        <f t="shared" si="99"/>
        <v>30</v>
      </c>
    </row>
    <row r="456" spans="1:18" ht="36" customHeight="1">
      <c r="A456" s="62" t="str">
        <f ca="1" t="shared" si="107"/>
        <v>Предоставление субсидий бюджетным, автономным учреждениям и иным некоммерческим организациям</v>
      </c>
      <c r="B456" s="44" t="s">
        <v>539</v>
      </c>
      <c r="C456" s="8" t="s">
        <v>232</v>
      </c>
      <c r="D456" s="1" t="s">
        <v>221</v>
      </c>
      <c r="E456" s="115">
        <v>600</v>
      </c>
      <c r="F456" s="7">
        <f>F457+F459</f>
        <v>4015.3</v>
      </c>
      <c r="G456" s="7">
        <f>G457+G459</f>
        <v>0</v>
      </c>
      <c r="H456" s="36">
        <f t="shared" si="105"/>
        <v>4015.3</v>
      </c>
      <c r="I456" s="7">
        <f>I457+I459</f>
        <v>0</v>
      </c>
      <c r="J456" s="36">
        <f t="shared" si="103"/>
        <v>4015.3</v>
      </c>
      <c r="K456" s="7">
        <f>K457+K459</f>
        <v>0</v>
      </c>
      <c r="L456" s="36">
        <f t="shared" si="101"/>
        <v>4015.3</v>
      </c>
      <c r="M456" s="7">
        <f>M457+M459</f>
        <v>0</v>
      </c>
      <c r="N456" s="36">
        <f t="shared" si="102"/>
        <v>4015.3</v>
      </c>
      <c r="O456" s="7">
        <f>O457+O459</f>
        <v>-797.5</v>
      </c>
      <c r="P456" s="36">
        <f t="shared" si="98"/>
        <v>3217.8</v>
      </c>
      <c r="Q456" s="7">
        <f>Q457+Q459</f>
        <v>442.8</v>
      </c>
      <c r="R456" s="36">
        <f t="shared" si="99"/>
        <v>3660.6000000000004</v>
      </c>
    </row>
    <row r="457" spans="1:18" ht="12.75">
      <c r="A457" s="62" t="str">
        <f ca="1" t="shared" si="107"/>
        <v>Субсидии бюджетным учреждениям</v>
      </c>
      <c r="B457" s="44" t="s">
        <v>539</v>
      </c>
      <c r="C457" s="8" t="s">
        <v>232</v>
      </c>
      <c r="D457" s="1" t="s">
        <v>221</v>
      </c>
      <c r="E457" s="115">
        <v>610</v>
      </c>
      <c r="F457" s="7">
        <f>F458</f>
        <v>2939.9</v>
      </c>
      <c r="G457" s="7">
        <f>G458</f>
        <v>0</v>
      </c>
      <c r="H457" s="36">
        <f t="shared" si="105"/>
        <v>2939.9</v>
      </c>
      <c r="I457" s="7">
        <f>I458</f>
        <v>0</v>
      </c>
      <c r="J457" s="36">
        <f t="shared" si="103"/>
        <v>2939.9</v>
      </c>
      <c r="K457" s="7">
        <f>K458</f>
        <v>0</v>
      </c>
      <c r="L457" s="36">
        <f t="shared" si="101"/>
        <v>2939.9</v>
      </c>
      <c r="M457" s="7">
        <f>M458</f>
        <v>0</v>
      </c>
      <c r="N457" s="36">
        <f t="shared" si="102"/>
        <v>2939.9</v>
      </c>
      <c r="O457" s="7">
        <f>O458</f>
        <v>-794.5</v>
      </c>
      <c r="P457" s="36">
        <f t="shared" si="98"/>
        <v>2145.4</v>
      </c>
      <c r="Q457" s="7">
        <f>Q458</f>
        <v>-23</v>
      </c>
      <c r="R457" s="36">
        <f t="shared" si="99"/>
        <v>2122.4</v>
      </c>
    </row>
    <row r="458" spans="1:18" ht="51.75" customHeight="1">
      <c r="A458" s="62" t="str">
        <f ca="1" t="shared" si="10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58" s="44" t="s">
        <v>539</v>
      </c>
      <c r="C458" s="8" t="s">
        <v>232</v>
      </c>
      <c r="D458" s="1" t="s">
        <v>221</v>
      </c>
      <c r="E458" s="115">
        <v>611</v>
      </c>
      <c r="F458" s="7">
        <f>'прил.5'!G1192</f>
        <v>2939.9</v>
      </c>
      <c r="G458" s="7">
        <f>'прил.5'!H1192</f>
        <v>0</v>
      </c>
      <c r="H458" s="36">
        <f t="shared" si="105"/>
        <v>2939.9</v>
      </c>
      <c r="I458" s="7">
        <f>'прил.5'!J1192</f>
        <v>0</v>
      </c>
      <c r="J458" s="36">
        <f t="shared" si="103"/>
        <v>2939.9</v>
      </c>
      <c r="K458" s="7">
        <f>'прил.5'!L1192</f>
        <v>0</v>
      </c>
      <c r="L458" s="36">
        <f t="shared" si="101"/>
        <v>2939.9</v>
      </c>
      <c r="M458" s="7">
        <f>'прил.5'!N1192</f>
        <v>0</v>
      </c>
      <c r="N458" s="36">
        <f t="shared" si="102"/>
        <v>2939.9</v>
      </c>
      <c r="O458" s="7">
        <f>'прил.5'!P1192</f>
        <v>-794.5</v>
      </c>
      <c r="P458" s="36">
        <f t="shared" si="98"/>
        <v>2145.4</v>
      </c>
      <c r="Q458" s="7">
        <f>'прил.5'!R1192</f>
        <v>-23</v>
      </c>
      <c r="R458" s="36">
        <f t="shared" si="99"/>
        <v>2122.4</v>
      </c>
    </row>
    <row r="459" spans="1:18" ht="12.75">
      <c r="A459" s="62" t="str">
        <f ca="1" t="shared" si="107"/>
        <v>Субсидии автономным учреждениям</v>
      </c>
      <c r="B459" s="44" t="s">
        <v>539</v>
      </c>
      <c r="C459" s="8" t="s">
        <v>232</v>
      </c>
      <c r="D459" s="1" t="s">
        <v>221</v>
      </c>
      <c r="E459" s="115">
        <v>620</v>
      </c>
      <c r="F459" s="7">
        <f>F460</f>
        <v>1075.4</v>
      </c>
      <c r="G459" s="7">
        <f>G460</f>
        <v>0</v>
      </c>
      <c r="H459" s="36">
        <f t="shared" si="105"/>
        <v>1075.4</v>
      </c>
      <c r="I459" s="7">
        <f>I460</f>
        <v>0</v>
      </c>
      <c r="J459" s="36">
        <f t="shared" si="103"/>
        <v>1075.4</v>
      </c>
      <c r="K459" s="7">
        <f>K460</f>
        <v>0</v>
      </c>
      <c r="L459" s="36">
        <f t="shared" si="101"/>
        <v>1075.4</v>
      </c>
      <c r="M459" s="7">
        <f>M460</f>
        <v>0</v>
      </c>
      <c r="N459" s="36">
        <f t="shared" si="102"/>
        <v>1075.4</v>
      </c>
      <c r="O459" s="7">
        <f>O460</f>
        <v>-3</v>
      </c>
      <c r="P459" s="36">
        <f t="shared" si="98"/>
        <v>1072.4</v>
      </c>
      <c r="Q459" s="7">
        <f>Q460</f>
        <v>465.8</v>
      </c>
      <c r="R459" s="36">
        <f t="shared" si="99"/>
        <v>1538.2</v>
      </c>
    </row>
    <row r="460" spans="1:18" ht="53.25" customHeight="1">
      <c r="A460" s="62" t="str">
        <f ca="1" t="shared" si="107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60" s="44" t="s">
        <v>539</v>
      </c>
      <c r="C460" s="8" t="s">
        <v>232</v>
      </c>
      <c r="D460" s="1" t="s">
        <v>221</v>
      </c>
      <c r="E460" s="115">
        <v>621</v>
      </c>
      <c r="F460" s="7">
        <f>'прил.5'!G1194</f>
        <v>1075.4</v>
      </c>
      <c r="G460" s="7">
        <f>'прил.5'!H1194</f>
        <v>0</v>
      </c>
      <c r="H460" s="36">
        <f t="shared" si="105"/>
        <v>1075.4</v>
      </c>
      <c r="I460" s="7">
        <f>'прил.5'!J1194</f>
        <v>0</v>
      </c>
      <c r="J460" s="36">
        <f t="shared" si="103"/>
        <v>1075.4</v>
      </c>
      <c r="K460" s="7">
        <f>'прил.5'!L1194</f>
        <v>0</v>
      </c>
      <c r="L460" s="36">
        <f t="shared" si="101"/>
        <v>1075.4</v>
      </c>
      <c r="M460" s="7">
        <f>'прил.5'!N1194</f>
        <v>0</v>
      </c>
      <c r="N460" s="36">
        <f t="shared" si="102"/>
        <v>1075.4</v>
      </c>
      <c r="O460" s="7">
        <f>'прил.5'!P1194</f>
        <v>-3</v>
      </c>
      <c r="P460" s="36">
        <f t="shared" si="98"/>
        <v>1072.4</v>
      </c>
      <c r="Q460" s="7">
        <f>'прил.5'!R1194</f>
        <v>465.8</v>
      </c>
      <c r="R460" s="36">
        <f t="shared" si="99"/>
        <v>1538.2</v>
      </c>
    </row>
    <row r="461" spans="1:18" ht="12.75">
      <c r="A461" s="62" t="str">
        <f ca="1">IF(ISERROR(MATCH(B461,Код_КЦСР,0)),"",INDIRECT(ADDRESS(MATCH(B461,Код_КЦСР,0)+1,2,,,"КЦСР")))</f>
        <v>Спортивный город</v>
      </c>
      <c r="B461" s="44" t="s">
        <v>541</v>
      </c>
      <c r="C461" s="8"/>
      <c r="D461" s="1"/>
      <c r="E461" s="115"/>
      <c r="F461" s="7">
        <f>F462+F469</f>
        <v>13318.7</v>
      </c>
      <c r="G461" s="7">
        <f>G462+G469</f>
        <v>10000</v>
      </c>
      <c r="H461" s="36">
        <f t="shared" si="105"/>
        <v>23318.7</v>
      </c>
      <c r="I461" s="7">
        <f>I462+I469</f>
        <v>0</v>
      </c>
      <c r="J461" s="36">
        <f t="shared" si="103"/>
        <v>23318.7</v>
      </c>
      <c r="K461" s="7">
        <f>K462+K469</f>
        <v>0</v>
      </c>
      <c r="L461" s="36">
        <f t="shared" si="101"/>
        <v>23318.7</v>
      </c>
      <c r="M461" s="7">
        <f>M462+M469</f>
        <v>0</v>
      </c>
      <c r="N461" s="36">
        <f t="shared" si="102"/>
        <v>23318.7</v>
      </c>
      <c r="O461" s="7">
        <f>O462+O469</f>
        <v>0</v>
      </c>
      <c r="P461" s="36">
        <f t="shared" si="98"/>
        <v>23318.7</v>
      </c>
      <c r="Q461" s="7">
        <f>Q462+Q469</f>
        <v>20000</v>
      </c>
      <c r="R461" s="36">
        <f t="shared" si="99"/>
        <v>43318.7</v>
      </c>
    </row>
    <row r="462" spans="1:18" ht="12.75">
      <c r="A462" s="62" t="str">
        <f ca="1">IF(ISERROR(MATCH(C462,Код_Раздел,0)),"",INDIRECT(ADDRESS(MATCH(C462,Код_Раздел,0)+1,2,,,"Раздел")))</f>
        <v>Образование</v>
      </c>
      <c r="B462" s="44" t="s">
        <v>541</v>
      </c>
      <c r="C462" s="8" t="s">
        <v>203</v>
      </c>
      <c r="D462" s="1"/>
      <c r="E462" s="115"/>
      <c r="F462" s="7">
        <f>F463</f>
        <v>7563.1</v>
      </c>
      <c r="G462" s="7">
        <f>G463</f>
        <v>0</v>
      </c>
      <c r="H462" s="36">
        <f t="shared" si="105"/>
        <v>7563.1</v>
      </c>
      <c r="I462" s="7">
        <f>I463</f>
        <v>90.1</v>
      </c>
      <c r="J462" s="36">
        <f t="shared" si="103"/>
        <v>7653.200000000001</v>
      </c>
      <c r="K462" s="7">
        <f>K463</f>
        <v>0</v>
      </c>
      <c r="L462" s="36">
        <f t="shared" si="101"/>
        <v>7653.200000000001</v>
      </c>
      <c r="M462" s="7">
        <f>M463</f>
        <v>0</v>
      </c>
      <c r="N462" s="36">
        <f t="shared" si="102"/>
        <v>7653.200000000001</v>
      </c>
      <c r="O462" s="7">
        <f>O463</f>
        <v>0</v>
      </c>
      <c r="P462" s="36">
        <f t="shared" si="98"/>
        <v>7653.200000000001</v>
      </c>
      <c r="Q462" s="7">
        <f>Q463</f>
        <v>0</v>
      </c>
      <c r="R462" s="36">
        <f t="shared" si="99"/>
        <v>7653.200000000001</v>
      </c>
    </row>
    <row r="463" spans="1:18" ht="12.75">
      <c r="A463" s="12" t="s">
        <v>259</v>
      </c>
      <c r="B463" s="44" t="s">
        <v>541</v>
      </c>
      <c r="C463" s="8" t="s">
        <v>203</v>
      </c>
      <c r="D463" s="1" t="s">
        <v>227</v>
      </c>
      <c r="E463" s="115"/>
      <c r="F463" s="7">
        <f>F464</f>
        <v>7563.1</v>
      </c>
      <c r="G463" s="7">
        <f>G464</f>
        <v>0</v>
      </c>
      <c r="H463" s="36">
        <f t="shared" si="105"/>
        <v>7563.1</v>
      </c>
      <c r="I463" s="7">
        <f>I464</f>
        <v>90.1</v>
      </c>
      <c r="J463" s="36">
        <f t="shared" si="103"/>
        <v>7653.200000000001</v>
      </c>
      <c r="K463" s="7">
        <f>K464</f>
        <v>0</v>
      </c>
      <c r="L463" s="36">
        <f t="shared" si="101"/>
        <v>7653.200000000001</v>
      </c>
      <c r="M463" s="7">
        <f>M464</f>
        <v>0</v>
      </c>
      <c r="N463" s="36">
        <f t="shared" si="102"/>
        <v>7653.200000000001</v>
      </c>
      <c r="O463" s="7">
        <f>O464</f>
        <v>0</v>
      </c>
      <c r="P463" s="36">
        <f t="shared" si="98"/>
        <v>7653.200000000001</v>
      </c>
      <c r="Q463" s="7">
        <f>Q464</f>
        <v>0</v>
      </c>
      <c r="R463" s="36">
        <f t="shared" si="99"/>
        <v>7653.200000000001</v>
      </c>
    </row>
    <row r="464" spans="1:18" ht="35.25" customHeight="1">
      <c r="A464" s="62" t="str">
        <f ca="1">IF(ISERROR(MATCH(E464,Код_КВР,0)),"",INDIRECT(ADDRESS(MATCH(E464,Код_КВР,0)+1,2,,,"КВР")))</f>
        <v>Предоставление субсидий бюджетным, автономным учреждениям и иным некоммерческим организациям</v>
      </c>
      <c r="B464" s="44" t="s">
        <v>541</v>
      </c>
      <c r="C464" s="8" t="s">
        <v>203</v>
      </c>
      <c r="D464" s="1" t="s">
        <v>227</v>
      </c>
      <c r="E464" s="115">
        <v>600</v>
      </c>
      <c r="F464" s="7">
        <f>F465+F467</f>
        <v>7563.1</v>
      </c>
      <c r="G464" s="7">
        <f>G465+G467</f>
        <v>0</v>
      </c>
      <c r="H464" s="36">
        <f t="shared" si="105"/>
        <v>7563.1</v>
      </c>
      <c r="I464" s="7">
        <f>I465+I467</f>
        <v>90.1</v>
      </c>
      <c r="J464" s="36">
        <f t="shared" si="103"/>
        <v>7653.200000000001</v>
      </c>
      <c r="K464" s="7">
        <f>K465+K467</f>
        <v>0</v>
      </c>
      <c r="L464" s="36">
        <f t="shared" si="101"/>
        <v>7653.200000000001</v>
      </c>
      <c r="M464" s="7">
        <f>M465+M467</f>
        <v>0</v>
      </c>
      <c r="N464" s="36">
        <f t="shared" si="102"/>
        <v>7653.200000000001</v>
      </c>
      <c r="O464" s="7">
        <f>O465+O467</f>
        <v>0</v>
      </c>
      <c r="P464" s="36">
        <f t="shared" si="98"/>
        <v>7653.200000000001</v>
      </c>
      <c r="Q464" s="7">
        <f>Q465+Q467</f>
        <v>0</v>
      </c>
      <c r="R464" s="36">
        <f t="shared" si="99"/>
        <v>7653.200000000001</v>
      </c>
    </row>
    <row r="465" spans="1:18" ht="12.75">
      <c r="A465" s="62" t="str">
        <f ca="1">IF(ISERROR(MATCH(E465,Код_КВР,0)),"",INDIRECT(ADDRESS(MATCH(E465,Код_КВР,0)+1,2,,,"КВР")))</f>
        <v>Субсидии бюджетным учреждениям</v>
      </c>
      <c r="B465" s="44" t="s">
        <v>541</v>
      </c>
      <c r="C465" s="8" t="s">
        <v>203</v>
      </c>
      <c r="D465" s="1" t="s">
        <v>227</v>
      </c>
      <c r="E465" s="115">
        <v>610</v>
      </c>
      <c r="F465" s="7">
        <f>F466</f>
        <v>6732.6</v>
      </c>
      <c r="G465" s="7">
        <f>G466</f>
        <v>0</v>
      </c>
      <c r="H465" s="36">
        <f t="shared" si="105"/>
        <v>6732.6</v>
      </c>
      <c r="I465" s="7">
        <f>I466</f>
        <v>90.1</v>
      </c>
      <c r="J465" s="36">
        <f t="shared" si="103"/>
        <v>6822.700000000001</v>
      </c>
      <c r="K465" s="7">
        <f>K466</f>
        <v>0</v>
      </c>
      <c r="L465" s="36">
        <f t="shared" si="101"/>
        <v>6822.700000000001</v>
      </c>
      <c r="M465" s="7">
        <f>M466</f>
        <v>0</v>
      </c>
      <c r="N465" s="36">
        <f t="shared" si="102"/>
        <v>6822.700000000001</v>
      </c>
      <c r="O465" s="7">
        <f>O466</f>
        <v>0</v>
      </c>
      <c r="P465" s="36">
        <f t="shared" si="98"/>
        <v>6822.700000000001</v>
      </c>
      <c r="Q465" s="7">
        <f>Q466</f>
        <v>0</v>
      </c>
      <c r="R465" s="36">
        <f t="shared" si="99"/>
        <v>6822.700000000001</v>
      </c>
    </row>
    <row r="466" spans="1:18" ht="12.75">
      <c r="A466" s="62" t="str">
        <f ca="1">IF(ISERROR(MATCH(E466,Код_КВР,0)),"",INDIRECT(ADDRESS(MATCH(E466,Код_КВР,0)+1,2,,,"КВР")))</f>
        <v>Субсидии бюджетным учреждениям на иные цели</v>
      </c>
      <c r="B466" s="44" t="s">
        <v>541</v>
      </c>
      <c r="C466" s="8" t="s">
        <v>203</v>
      </c>
      <c r="D466" s="1" t="s">
        <v>227</v>
      </c>
      <c r="E466" s="115">
        <v>612</v>
      </c>
      <c r="F466" s="7">
        <f>'прил.5'!G1157</f>
        <v>6732.6</v>
      </c>
      <c r="G466" s="7">
        <f>'прил.5'!H1157</f>
        <v>0</v>
      </c>
      <c r="H466" s="36">
        <f t="shared" si="105"/>
        <v>6732.6</v>
      </c>
      <c r="I466" s="7">
        <f>'прил.5'!J1157</f>
        <v>90.1</v>
      </c>
      <c r="J466" s="36">
        <f t="shared" si="103"/>
        <v>6822.700000000001</v>
      </c>
      <c r="K466" s="7">
        <f>'прил.5'!L1157</f>
        <v>0</v>
      </c>
      <c r="L466" s="36">
        <f t="shared" si="101"/>
        <v>6822.700000000001</v>
      </c>
      <c r="M466" s="7">
        <f>'прил.5'!N1157</f>
        <v>0</v>
      </c>
      <c r="N466" s="36">
        <f t="shared" si="102"/>
        <v>6822.700000000001</v>
      </c>
      <c r="O466" s="7">
        <f>'прил.5'!P1157</f>
        <v>0</v>
      </c>
      <c r="P466" s="36">
        <f t="shared" si="98"/>
        <v>6822.700000000001</v>
      </c>
      <c r="Q466" s="7">
        <f>'прил.5'!R1157</f>
        <v>0</v>
      </c>
      <c r="R466" s="36">
        <f t="shared" si="99"/>
        <v>6822.700000000001</v>
      </c>
    </row>
    <row r="467" spans="1:18" ht="12.75">
      <c r="A467" s="62" t="str">
        <f ca="1">IF(ISERROR(MATCH(E467,Код_КВР,0)),"",INDIRECT(ADDRESS(MATCH(E467,Код_КВР,0)+1,2,,,"КВР")))</f>
        <v>Субсидии автономным учреждениям</v>
      </c>
      <c r="B467" s="44" t="s">
        <v>541</v>
      </c>
      <c r="C467" s="8" t="s">
        <v>203</v>
      </c>
      <c r="D467" s="1" t="s">
        <v>227</v>
      </c>
      <c r="E467" s="115">
        <v>620</v>
      </c>
      <c r="F467" s="7">
        <f>F468</f>
        <v>830.5</v>
      </c>
      <c r="G467" s="7">
        <f>G468</f>
        <v>0</v>
      </c>
      <c r="H467" s="36">
        <f t="shared" si="105"/>
        <v>830.5</v>
      </c>
      <c r="I467" s="7">
        <f>I468</f>
        <v>0</v>
      </c>
      <c r="J467" s="36">
        <f t="shared" si="103"/>
        <v>830.5</v>
      </c>
      <c r="K467" s="7">
        <f>K468</f>
        <v>0</v>
      </c>
      <c r="L467" s="36">
        <f t="shared" si="101"/>
        <v>830.5</v>
      </c>
      <c r="M467" s="7">
        <f>M468</f>
        <v>0</v>
      </c>
      <c r="N467" s="36">
        <f t="shared" si="102"/>
        <v>830.5</v>
      </c>
      <c r="O467" s="7">
        <f>O468</f>
        <v>0</v>
      </c>
      <c r="P467" s="36">
        <f t="shared" si="98"/>
        <v>830.5</v>
      </c>
      <c r="Q467" s="7">
        <f>Q468</f>
        <v>0</v>
      </c>
      <c r="R467" s="36">
        <f t="shared" si="99"/>
        <v>830.5</v>
      </c>
    </row>
    <row r="468" spans="1:18" ht="12.75">
      <c r="A468" s="62" t="str">
        <f ca="1">IF(ISERROR(MATCH(E468,Код_КВР,0)),"",INDIRECT(ADDRESS(MATCH(E468,Код_КВР,0)+1,2,,,"КВР")))</f>
        <v>Субсидии автономным учреждениям на иные цели</v>
      </c>
      <c r="B468" s="44" t="s">
        <v>541</v>
      </c>
      <c r="C468" s="8" t="s">
        <v>203</v>
      </c>
      <c r="D468" s="1" t="s">
        <v>227</v>
      </c>
      <c r="E468" s="115">
        <v>622</v>
      </c>
      <c r="F468" s="7">
        <f>'прил.5'!G1159</f>
        <v>830.5</v>
      </c>
      <c r="G468" s="7">
        <f>'прил.5'!H1159</f>
        <v>0</v>
      </c>
      <c r="H468" s="36">
        <f t="shared" si="105"/>
        <v>830.5</v>
      </c>
      <c r="I468" s="7">
        <f>'прил.5'!J1159</f>
        <v>0</v>
      </c>
      <c r="J468" s="36">
        <f t="shared" si="103"/>
        <v>830.5</v>
      </c>
      <c r="K468" s="7">
        <f>'прил.5'!L1159</f>
        <v>0</v>
      </c>
      <c r="L468" s="36">
        <f t="shared" si="101"/>
        <v>830.5</v>
      </c>
      <c r="M468" s="7">
        <f>'прил.5'!N1159</f>
        <v>0</v>
      </c>
      <c r="N468" s="36">
        <f t="shared" si="102"/>
        <v>830.5</v>
      </c>
      <c r="O468" s="7">
        <f>'прил.5'!P1159</f>
        <v>0</v>
      </c>
      <c r="P468" s="36">
        <f t="shared" si="98"/>
        <v>830.5</v>
      </c>
      <c r="Q468" s="7">
        <f>'прил.5'!R1159</f>
        <v>0</v>
      </c>
      <c r="R468" s="36">
        <f t="shared" si="99"/>
        <v>830.5</v>
      </c>
    </row>
    <row r="469" spans="1:18" ht="12.75">
      <c r="A469" s="62" t="str">
        <f ca="1">IF(ISERROR(MATCH(C469,Код_Раздел,0)),"",INDIRECT(ADDRESS(MATCH(C469,Код_Раздел,0)+1,2,,,"Раздел")))</f>
        <v>Физическая культура и спорт</v>
      </c>
      <c r="B469" s="44" t="s">
        <v>541</v>
      </c>
      <c r="C469" s="8" t="s">
        <v>232</v>
      </c>
      <c r="D469" s="1"/>
      <c r="E469" s="115"/>
      <c r="F469" s="7">
        <f>F470+F475</f>
        <v>5755.6</v>
      </c>
      <c r="G469" s="7">
        <f>G470+G475</f>
        <v>10000</v>
      </c>
      <c r="H469" s="36">
        <f t="shared" si="105"/>
        <v>15755.6</v>
      </c>
      <c r="I469" s="7">
        <f>I470+I475</f>
        <v>-90.1</v>
      </c>
      <c r="J469" s="36">
        <f t="shared" si="103"/>
        <v>15665.5</v>
      </c>
      <c r="K469" s="7">
        <f>K470+K475</f>
        <v>0</v>
      </c>
      <c r="L469" s="36">
        <f t="shared" si="101"/>
        <v>15665.5</v>
      </c>
      <c r="M469" s="7">
        <f>M470+M475</f>
        <v>0</v>
      </c>
      <c r="N469" s="36">
        <f t="shared" si="102"/>
        <v>15665.5</v>
      </c>
      <c r="O469" s="7">
        <f>O470+O475</f>
        <v>0</v>
      </c>
      <c r="P469" s="36">
        <f t="shared" si="98"/>
        <v>15665.5</v>
      </c>
      <c r="Q469" s="7">
        <f>Q470+Q475</f>
        <v>20000</v>
      </c>
      <c r="R469" s="36">
        <f t="shared" si="99"/>
        <v>35665.5</v>
      </c>
    </row>
    <row r="470" spans="1:18" ht="12.75">
      <c r="A470" s="12" t="s">
        <v>194</v>
      </c>
      <c r="B470" s="44" t="s">
        <v>541</v>
      </c>
      <c r="C470" s="8" t="s">
        <v>232</v>
      </c>
      <c r="D470" s="1" t="s">
        <v>221</v>
      </c>
      <c r="E470" s="115"/>
      <c r="F470" s="7">
        <f>F471</f>
        <v>5255.6</v>
      </c>
      <c r="G470" s="7">
        <f>G471</f>
        <v>10000</v>
      </c>
      <c r="H470" s="36">
        <f t="shared" si="105"/>
        <v>15255.6</v>
      </c>
      <c r="I470" s="7">
        <f>I471</f>
        <v>-205</v>
      </c>
      <c r="J470" s="36">
        <f t="shared" si="103"/>
        <v>15050.6</v>
      </c>
      <c r="K470" s="7">
        <f>K471</f>
        <v>0</v>
      </c>
      <c r="L470" s="36">
        <f t="shared" si="101"/>
        <v>15050.6</v>
      </c>
      <c r="M470" s="7">
        <f>M471</f>
        <v>0</v>
      </c>
      <c r="N470" s="36">
        <f t="shared" si="102"/>
        <v>15050.6</v>
      </c>
      <c r="O470" s="7">
        <f>O471</f>
        <v>0</v>
      </c>
      <c r="P470" s="36">
        <f t="shared" si="98"/>
        <v>15050.6</v>
      </c>
      <c r="Q470" s="7">
        <f>Q471</f>
        <v>20000</v>
      </c>
      <c r="R470" s="36">
        <f t="shared" si="99"/>
        <v>35050.6</v>
      </c>
    </row>
    <row r="471" spans="1:18" ht="37.5" customHeight="1">
      <c r="A471" s="62" t="str">
        <f ca="1">IF(ISERROR(MATCH(E471,Код_КВР,0)),"",INDIRECT(ADDRESS(MATCH(E471,Код_КВР,0)+1,2,,,"КВР")))</f>
        <v>Предоставление субсидий бюджетным, автономным учреждениям и иным некоммерческим организациям</v>
      </c>
      <c r="B471" s="44" t="s">
        <v>541</v>
      </c>
      <c r="C471" s="8" t="s">
        <v>232</v>
      </c>
      <c r="D471" s="1" t="s">
        <v>221</v>
      </c>
      <c r="E471" s="115">
        <v>600</v>
      </c>
      <c r="F471" s="7">
        <f>F472+F474</f>
        <v>5255.6</v>
      </c>
      <c r="G471" s="7">
        <f>G472+G474</f>
        <v>10000</v>
      </c>
      <c r="H471" s="36">
        <f t="shared" si="105"/>
        <v>15255.6</v>
      </c>
      <c r="I471" s="7">
        <f>I472+I474</f>
        <v>-205</v>
      </c>
      <c r="J471" s="36">
        <f t="shared" si="103"/>
        <v>15050.6</v>
      </c>
      <c r="K471" s="7">
        <f>K472+K474</f>
        <v>0</v>
      </c>
      <c r="L471" s="36">
        <f t="shared" si="101"/>
        <v>15050.6</v>
      </c>
      <c r="M471" s="7">
        <f>M472+M474</f>
        <v>0</v>
      </c>
      <c r="N471" s="36">
        <f t="shared" si="102"/>
        <v>15050.6</v>
      </c>
      <c r="O471" s="7">
        <f>O472+O474</f>
        <v>0</v>
      </c>
      <c r="P471" s="36">
        <f t="shared" si="98"/>
        <v>15050.6</v>
      </c>
      <c r="Q471" s="7">
        <f>Q472+Q474</f>
        <v>20000</v>
      </c>
      <c r="R471" s="36">
        <f t="shared" si="99"/>
        <v>35050.6</v>
      </c>
    </row>
    <row r="472" spans="1:18" ht="12.75">
      <c r="A472" s="62" t="str">
        <f ca="1">IF(ISERROR(MATCH(E472,Код_КВР,0)),"",INDIRECT(ADDRESS(MATCH(E472,Код_КВР,0)+1,2,,,"КВР")))</f>
        <v>Субсидии автономным учреждениям</v>
      </c>
      <c r="B472" s="44" t="s">
        <v>541</v>
      </c>
      <c r="C472" s="8" t="s">
        <v>232</v>
      </c>
      <c r="D472" s="1" t="s">
        <v>221</v>
      </c>
      <c r="E472" s="115">
        <v>620</v>
      </c>
      <c r="F472" s="7">
        <f>F473</f>
        <v>5005.6</v>
      </c>
      <c r="G472" s="7">
        <f>G473</f>
        <v>0</v>
      </c>
      <c r="H472" s="36">
        <f t="shared" si="105"/>
        <v>5005.6</v>
      </c>
      <c r="I472" s="7">
        <f>I473</f>
        <v>-255</v>
      </c>
      <c r="J472" s="36">
        <f t="shared" si="103"/>
        <v>4750.6</v>
      </c>
      <c r="K472" s="7">
        <f>K473</f>
        <v>0</v>
      </c>
      <c r="L472" s="36">
        <f t="shared" si="101"/>
        <v>4750.6</v>
      </c>
      <c r="M472" s="7">
        <f>M473</f>
        <v>0</v>
      </c>
      <c r="N472" s="36">
        <f t="shared" si="102"/>
        <v>4750.6</v>
      </c>
      <c r="O472" s="7">
        <f>O473</f>
        <v>0</v>
      </c>
      <c r="P472" s="36">
        <f t="shared" si="98"/>
        <v>4750.6</v>
      </c>
      <c r="Q472" s="7">
        <f>Q473</f>
        <v>0</v>
      </c>
      <c r="R472" s="36">
        <f t="shared" si="99"/>
        <v>4750.6</v>
      </c>
    </row>
    <row r="473" spans="1:18" ht="12.75">
      <c r="A473" s="62" t="str">
        <f ca="1">IF(ISERROR(MATCH(E473,Код_КВР,0)),"",INDIRECT(ADDRESS(MATCH(E473,Код_КВР,0)+1,2,,,"КВР")))</f>
        <v>Субсидии автономным учреждениям на иные цели</v>
      </c>
      <c r="B473" s="44" t="s">
        <v>541</v>
      </c>
      <c r="C473" s="8" t="s">
        <v>232</v>
      </c>
      <c r="D473" s="1" t="s">
        <v>221</v>
      </c>
      <c r="E473" s="115">
        <v>622</v>
      </c>
      <c r="F473" s="7">
        <f>'прил.5'!G1198</f>
        <v>5005.6</v>
      </c>
      <c r="G473" s="7">
        <f>'прил.5'!H1198</f>
        <v>0</v>
      </c>
      <c r="H473" s="36">
        <f t="shared" si="105"/>
        <v>5005.6</v>
      </c>
      <c r="I473" s="7">
        <f>'прил.5'!J1198</f>
        <v>-255</v>
      </c>
      <c r="J473" s="36">
        <f t="shared" si="103"/>
        <v>4750.6</v>
      </c>
      <c r="K473" s="7">
        <f>'прил.5'!L1198</f>
        <v>0</v>
      </c>
      <c r="L473" s="36">
        <f t="shared" si="101"/>
        <v>4750.6</v>
      </c>
      <c r="M473" s="7">
        <f>'прил.5'!N1198</f>
        <v>0</v>
      </c>
      <c r="N473" s="36">
        <f t="shared" si="102"/>
        <v>4750.6</v>
      </c>
      <c r="O473" s="7">
        <f>'прил.5'!P1198</f>
        <v>0</v>
      </c>
      <c r="P473" s="36">
        <f t="shared" si="98"/>
        <v>4750.6</v>
      </c>
      <c r="Q473" s="7">
        <f>'прил.5'!R1198</f>
        <v>0</v>
      </c>
      <c r="R473" s="36">
        <f t="shared" si="99"/>
        <v>4750.6</v>
      </c>
    </row>
    <row r="474" spans="1:18" ht="36" customHeight="1">
      <c r="A474" s="62" t="str">
        <f ca="1">IF(ISERROR(MATCH(E474,Код_КВР,0)),"",INDIRECT(ADDRESS(MATCH(E474,Код_КВР,0)+1,2,,,"КВР")))</f>
        <v>Субсидии некоммерческим организациям (за исключением государственных (муниципальных) учреждений)</v>
      </c>
      <c r="B474" s="44" t="s">
        <v>541</v>
      </c>
      <c r="C474" s="8" t="s">
        <v>232</v>
      </c>
      <c r="D474" s="1" t="s">
        <v>221</v>
      </c>
      <c r="E474" s="115">
        <v>630</v>
      </c>
      <c r="F474" s="7">
        <f>'прил.5'!G1199</f>
        <v>250</v>
      </c>
      <c r="G474" s="7">
        <f>'прил.5'!H1199</f>
        <v>10000</v>
      </c>
      <c r="H474" s="36">
        <f t="shared" si="105"/>
        <v>10250</v>
      </c>
      <c r="I474" s="7">
        <f>'прил.5'!J1199</f>
        <v>50</v>
      </c>
      <c r="J474" s="36">
        <f t="shared" si="103"/>
        <v>10300</v>
      </c>
      <c r="K474" s="7">
        <f>'прил.5'!L1199</f>
        <v>0</v>
      </c>
      <c r="L474" s="36">
        <f t="shared" si="101"/>
        <v>10300</v>
      </c>
      <c r="M474" s="7">
        <f>'прил.5'!N1199</f>
        <v>0</v>
      </c>
      <c r="N474" s="36">
        <f t="shared" si="102"/>
        <v>10300</v>
      </c>
      <c r="O474" s="7">
        <f>'прил.5'!P1199</f>
        <v>0</v>
      </c>
      <c r="P474" s="36">
        <f t="shared" si="98"/>
        <v>10300</v>
      </c>
      <c r="Q474" s="7">
        <f>'прил.5'!R1199</f>
        <v>20000</v>
      </c>
      <c r="R474" s="36">
        <f t="shared" si="99"/>
        <v>30300</v>
      </c>
    </row>
    <row r="475" spans="1:18" ht="12.75">
      <c r="A475" s="12" t="s">
        <v>275</v>
      </c>
      <c r="B475" s="44" t="s">
        <v>541</v>
      </c>
      <c r="C475" s="8" t="s">
        <v>232</v>
      </c>
      <c r="D475" s="1" t="s">
        <v>222</v>
      </c>
      <c r="E475" s="115"/>
      <c r="F475" s="7">
        <f aca="true" t="shared" si="108" ref="F475:Q477">F476</f>
        <v>500</v>
      </c>
      <c r="G475" s="7">
        <f t="shared" si="108"/>
        <v>0</v>
      </c>
      <c r="H475" s="36">
        <f t="shared" si="105"/>
        <v>500</v>
      </c>
      <c r="I475" s="7">
        <f t="shared" si="108"/>
        <v>114.9</v>
      </c>
      <c r="J475" s="36">
        <f t="shared" si="103"/>
        <v>614.9</v>
      </c>
      <c r="K475" s="7">
        <f t="shared" si="108"/>
        <v>0</v>
      </c>
      <c r="L475" s="36">
        <f t="shared" si="101"/>
        <v>614.9</v>
      </c>
      <c r="M475" s="7">
        <f t="shared" si="108"/>
        <v>0</v>
      </c>
      <c r="N475" s="36">
        <f t="shared" si="102"/>
        <v>614.9</v>
      </c>
      <c r="O475" s="7">
        <f t="shared" si="108"/>
        <v>0</v>
      </c>
      <c r="P475" s="36">
        <f t="shared" si="98"/>
        <v>614.9</v>
      </c>
      <c r="Q475" s="7">
        <f t="shared" si="108"/>
        <v>0</v>
      </c>
      <c r="R475" s="36">
        <f t="shared" si="99"/>
        <v>614.9</v>
      </c>
    </row>
    <row r="476" spans="1:18" ht="33">
      <c r="A476" s="62" t="str">
        <f ca="1">IF(ISERROR(MATCH(E476,Код_КВР,0)),"",INDIRECT(ADDRESS(MATCH(E476,Код_КВР,0)+1,2,,,"КВР")))</f>
        <v>Предоставление субсидий бюджетным, автономным учреждениям и иным некоммерческим организациям</v>
      </c>
      <c r="B476" s="44" t="s">
        <v>541</v>
      </c>
      <c r="C476" s="8" t="s">
        <v>232</v>
      </c>
      <c r="D476" s="1" t="s">
        <v>222</v>
      </c>
      <c r="E476" s="115">
        <v>600</v>
      </c>
      <c r="F476" s="7">
        <f t="shared" si="108"/>
        <v>500</v>
      </c>
      <c r="G476" s="7">
        <f t="shared" si="108"/>
        <v>0</v>
      </c>
      <c r="H476" s="36">
        <f t="shared" si="105"/>
        <v>500</v>
      </c>
      <c r="I476" s="7">
        <f t="shared" si="108"/>
        <v>114.9</v>
      </c>
      <c r="J476" s="36">
        <f t="shared" si="103"/>
        <v>614.9</v>
      </c>
      <c r="K476" s="7">
        <f t="shared" si="108"/>
        <v>0</v>
      </c>
      <c r="L476" s="36">
        <f t="shared" si="101"/>
        <v>614.9</v>
      </c>
      <c r="M476" s="7">
        <f t="shared" si="108"/>
        <v>0</v>
      </c>
      <c r="N476" s="36">
        <f t="shared" si="102"/>
        <v>614.9</v>
      </c>
      <c r="O476" s="7">
        <f t="shared" si="108"/>
        <v>0</v>
      </c>
      <c r="P476" s="36">
        <f t="shared" si="98"/>
        <v>614.9</v>
      </c>
      <c r="Q476" s="7">
        <f t="shared" si="108"/>
        <v>0</v>
      </c>
      <c r="R476" s="36">
        <f t="shared" si="99"/>
        <v>614.9</v>
      </c>
    </row>
    <row r="477" spans="1:18" ht="12.75">
      <c r="A477" s="62" t="str">
        <f ca="1">IF(ISERROR(MATCH(E477,Код_КВР,0)),"",INDIRECT(ADDRESS(MATCH(E477,Код_КВР,0)+1,2,,,"КВР")))</f>
        <v>Субсидии автономным учреждениям</v>
      </c>
      <c r="B477" s="44" t="s">
        <v>541</v>
      </c>
      <c r="C477" s="8" t="s">
        <v>232</v>
      </c>
      <c r="D477" s="1" t="s">
        <v>222</v>
      </c>
      <c r="E477" s="115">
        <v>620</v>
      </c>
      <c r="F477" s="7">
        <f t="shared" si="108"/>
        <v>500</v>
      </c>
      <c r="G477" s="7">
        <f t="shared" si="108"/>
        <v>0</v>
      </c>
      <c r="H477" s="36">
        <f t="shared" si="105"/>
        <v>500</v>
      </c>
      <c r="I477" s="7">
        <f t="shared" si="108"/>
        <v>114.9</v>
      </c>
      <c r="J477" s="36">
        <f t="shared" si="103"/>
        <v>614.9</v>
      </c>
      <c r="K477" s="7">
        <f t="shared" si="108"/>
        <v>0</v>
      </c>
      <c r="L477" s="36">
        <f t="shared" si="101"/>
        <v>614.9</v>
      </c>
      <c r="M477" s="7">
        <f t="shared" si="108"/>
        <v>0</v>
      </c>
      <c r="N477" s="36">
        <f t="shared" si="102"/>
        <v>614.9</v>
      </c>
      <c r="O477" s="7">
        <f t="shared" si="108"/>
        <v>0</v>
      </c>
      <c r="P477" s="36">
        <f t="shared" si="98"/>
        <v>614.9</v>
      </c>
      <c r="Q477" s="7">
        <f t="shared" si="108"/>
        <v>0</v>
      </c>
      <c r="R477" s="36">
        <f t="shared" si="99"/>
        <v>614.9</v>
      </c>
    </row>
    <row r="478" spans="1:18" ht="12.75">
      <c r="A478" s="62" t="str">
        <f ca="1">IF(ISERROR(MATCH(E478,Код_КВР,0)),"",INDIRECT(ADDRESS(MATCH(E478,Код_КВР,0)+1,2,,,"КВР")))</f>
        <v>Субсидии автономным учреждениям на иные цели</v>
      </c>
      <c r="B478" s="44" t="s">
        <v>541</v>
      </c>
      <c r="C478" s="8" t="s">
        <v>232</v>
      </c>
      <c r="D478" s="1" t="s">
        <v>222</v>
      </c>
      <c r="E478" s="115">
        <v>622</v>
      </c>
      <c r="F478" s="7">
        <f>'прил.5'!G1210</f>
        <v>500</v>
      </c>
      <c r="G478" s="7">
        <f>'прил.5'!H1210</f>
        <v>0</v>
      </c>
      <c r="H478" s="36">
        <f t="shared" si="105"/>
        <v>500</v>
      </c>
      <c r="I478" s="7">
        <f>'прил.5'!J1210</f>
        <v>114.9</v>
      </c>
      <c r="J478" s="36">
        <f t="shared" si="103"/>
        <v>614.9</v>
      </c>
      <c r="K478" s="7">
        <f>'прил.5'!L1210</f>
        <v>0</v>
      </c>
      <c r="L478" s="36">
        <f t="shared" si="101"/>
        <v>614.9</v>
      </c>
      <c r="M478" s="7">
        <f>'прил.5'!N1210</f>
        <v>0</v>
      </c>
      <c r="N478" s="36">
        <f t="shared" si="102"/>
        <v>614.9</v>
      </c>
      <c r="O478" s="7">
        <f>'прил.5'!P1210</f>
        <v>0</v>
      </c>
      <c r="P478" s="36">
        <f t="shared" si="98"/>
        <v>614.9</v>
      </c>
      <c r="Q478" s="7">
        <f>'прил.5'!R1210</f>
        <v>0</v>
      </c>
      <c r="R478" s="36">
        <f t="shared" si="99"/>
        <v>614.9</v>
      </c>
    </row>
    <row r="479" spans="1:18" ht="33">
      <c r="A479" s="62" t="str">
        <f ca="1">IF(ISERROR(MATCH(B479,Код_КЦСР,0)),"",INDIRECT(ADDRESS(MATCH(B479,Код_КЦСР,0)+1,2,,,"КЦСР")))</f>
        <v>Муниципальная программа «Развитие архивного дела» на 2013-2018 годы</v>
      </c>
      <c r="B479" s="44" t="s">
        <v>543</v>
      </c>
      <c r="C479" s="8"/>
      <c r="D479" s="1"/>
      <c r="E479" s="115"/>
      <c r="F479" s="7">
        <f>F480+F492</f>
        <v>13813.9</v>
      </c>
      <c r="G479" s="7">
        <f>G480+G492</f>
        <v>0</v>
      </c>
      <c r="H479" s="36">
        <f t="shared" si="105"/>
        <v>13813.9</v>
      </c>
      <c r="I479" s="7">
        <f>I480+I492</f>
        <v>0</v>
      </c>
      <c r="J479" s="36">
        <f t="shared" si="103"/>
        <v>13813.9</v>
      </c>
      <c r="K479" s="7">
        <f>K480+K492</f>
        <v>-46.7</v>
      </c>
      <c r="L479" s="36">
        <f t="shared" si="101"/>
        <v>13767.199999999999</v>
      </c>
      <c r="M479" s="7">
        <f>M480+M492</f>
        <v>0</v>
      </c>
      <c r="N479" s="36">
        <f t="shared" si="102"/>
        <v>13767.199999999999</v>
      </c>
      <c r="O479" s="7">
        <f>O480+O492</f>
        <v>0</v>
      </c>
      <c r="P479" s="36">
        <f t="shared" si="98"/>
        <v>13767.199999999999</v>
      </c>
      <c r="Q479" s="7">
        <f>Q480+Q492</f>
        <v>0</v>
      </c>
      <c r="R479" s="36">
        <f t="shared" si="99"/>
        <v>13767.199999999999</v>
      </c>
    </row>
    <row r="480" spans="1:18" ht="52.7" customHeight="1">
      <c r="A480" s="62" t="str">
        <f ca="1">IF(ISERROR(MATCH(B480,Код_КЦСР,0)),"",INDIRECT(ADDRESS(MATCH(B480,Код_КЦСР,0)+1,2,,,"КЦСР")))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80" s="44" t="s">
        <v>545</v>
      </c>
      <c r="C480" s="8"/>
      <c r="D480" s="1"/>
      <c r="E480" s="115"/>
      <c r="F480" s="7">
        <f>F481</f>
        <v>12741.9</v>
      </c>
      <c r="G480" s="7">
        <f>G481</f>
        <v>0</v>
      </c>
      <c r="H480" s="36">
        <f t="shared" si="105"/>
        <v>12741.9</v>
      </c>
      <c r="I480" s="7">
        <f>I481</f>
        <v>0</v>
      </c>
      <c r="J480" s="36">
        <f t="shared" si="103"/>
        <v>12741.9</v>
      </c>
      <c r="K480" s="7">
        <f>K481</f>
        <v>-46.7</v>
      </c>
      <c r="L480" s="36">
        <f t="shared" si="101"/>
        <v>12695.199999999999</v>
      </c>
      <c r="M480" s="7">
        <f>M481</f>
        <v>0</v>
      </c>
      <c r="N480" s="36">
        <f t="shared" si="102"/>
        <v>12695.199999999999</v>
      </c>
      <c r="O480" s="7">
        <f>O481</f>
        <v>0</v>
      </c>
      <c r="P480" s="36">
        <f t="shared" si="98"/>
        <v>12695.199999999999</v>
      </c>
      <c r="Q480" s="7">
        <f>Q481</f>
        <v>0</v>
      </c>
      <c r="R480" s="36">
        <f t="shared" si="99"/>
        <v>12695.199999999999</v>
      </c>
    </row>
    <row r="481" spans="1:18" ht="12.75">
      <c r="A481" s="62" t="str">
        <f ca="1">IF(ISERROR(MATCH(C481,Код_Раздел,0)),"",INDIRECT(ADDRESS(MATCH(C481,Код_Раздел,0)+1,2,,,"Раздел")))</f>
        <v>Общегосударственные  вопросы</v>
      </c>
      <c r="B481" s="44" t="s">
        <v>545</v>
      </c>
      <c r="C481" s="8" t="s">
        <v>221</v>
      </c>
      <c r="D481" s="1"/>
      <c r="E481" s="115"/>
      <c r="F481" s="7">
        <f>F482</f>
        <v>12741.9</v>
      </c>
      <c r="G481" s="7">
        <f>G482</f>
        <v>0</v>
      </c>
      <c r="H481" s="36">
        <f t="shared" si="105"/>
        <v>12741.9</v>
      </c>
      <c r="I481" s="7">
        <f>I482</f>
        <v>0</v>
      </c>
      <c r="J481" s="36">
        <f t="shared" si="103"/>
        <v>12741.9</v>
      </c>
      <c r="K481" s="7">
        <f>K482</f>
        <v>-46.7</v>
      </c>
      <c r="L481" s="36">
        <f t="shared" si="101"/>
        <v>12695.199999999999</v>
      </c>
      <c r="M481" s="7">
        <f>M482</f>
        <v>0</v>
      </c>
      <c r="N481" s="36">
        <f t="shared" si="102"/>
        <v>12695.199999999999</v>
      </c>
      <c r="O481" s="7">
        <f>O482</f>
        <v>0</v>
      </c>
      <c r="P481" s="36">
        <f t="shared" si="98"/>
        <v>12695.199999999999</v>
      </c>
      <c r="Q481" s="7">
        <f>Q482</f>
        <v>0</v>
      </c>
      <c r="R481" s="36">
        <f t="shared" si="99"/>
        <v>12695.199999999999</v>
      </c>
    </row>
    <row r="482" spans="1:18" ht="12.75">
      <c r="A482" s="12" t="s">
        <v>245</v>
      </c>
      <c r="B482" s="44" t="s">
        <v>545</v>
      </c>
      <c r="C482" s="8" t="s">
        <v>221</v>
      </c>
      <c r="D482" s="1" t="s">
        <v>198</v>
      </c>
      <c r="E482" s="115"/>
      <c r="F482" s="7">
        <f>F483+F485+F488</f>
        <v>12741.9</v>
      </c>
      <c r="G482" s="7">
        <f>G483+G485+G488</f>
        <v>0</v>
      </c>
      <c r="H482" s="36">
        <f t="shared" si="105"/>
        <v>12741.9</v>
      </c>
      <c r="I482" s="7">
        <f>I483+I485+I488</f>
        <v>0</v>
      </c>
      <c r="J482" s="36">
        <f t="shared" si="103"/>
        <v>12741.9</v>
      </c>
      <c r="K482" s="7">
        <f>K483+K485+K488</f>
        <v>-46.7</v>
      </c>
      <c r="L482" s="36">
        <f t="shared" si="101"/>
        <v>12695.199999999999</v>
      </c>
      <c r="M482" s="7">
        <f>M483+M485+M488</f>
        <v>0</v>
      </c>
      <c r="N482" s="36">
        <f t="shared" si="102"/>
        <v>12695.199999999999</v>
      </c>
      <c r="O482" s="7">
        <f>O483+O485+O488</f>
        <v>0</v>
      </c>
      <c r="P482" s="36">
        <f t="shared" si="98"/>
        <v>12695.199999999999</v>
      </c>
      <c r="Q482" s="7">
        <f>Q483+Q485+Q488</f>
        <v>0</v>
      </c>
      <c r="R482" s="36">
        <f t="shared" si="99"/>
        <v>12695.199999999999</v>
      </c>
    </row>
    <row r="483" spans="1:18" ht="33">
      <c r="A483" s="62" t="str">
        <f aca="true" t="shared" si="109" ref="A483:A489">IF(ISERROR(MATCH(E483,Код_КВР,0)),"",INDIRECT(ADDRESS(MATCH(E483,Код_КВР,0)+1,2,,,"КВР")))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3" s="44" t="s">
        <v>545</v>
      </c>
      <c r="C483" s="8" t="s">
        <v>221</v>
      </c>
      <c r="D483" s="1" t="s">
        <v>198</v>
      </c>
      <c r="E483" s="115">
        <v>100</v>
      </c>
      <c r="F483" s="7">
        <f>F484</f>
        <v>6387</v>
      </c>
      <c r="G483" s="7">
        <f>G484</f>
        <v>0</v>
      </c>
      <c r="H483" s="36">
        <f t="shared" si="105"/>
        <v>6387</v>
      </c>
      <c r="I483" s="7">
        <f>I484</f>
        <v>0</v>
      </c>
      <c r="J483" s="36">
        <f t="shared" si="103"/>
        <v>6387</v>
      </c>
      <c r="K483" s="7">
        <f>K484</f>
        <v>0</v>
      </c>
      <c r="L483" s="36">
        <f t="shared" si="101"/>
        <v>6387</v>
      </c>
      <c r="M483" s="7">
        <f>M484</f>
        <v>0</v>
      </c>
      <c r="N483" s="36">
        <f t="shared" si="102"/>
        <v>6387</v>
      </c>
      <c r="O483" s="7">
        <f>O484</f>
        <v>0</v>
      </c>
      <c r="P483" s="36">
        <f t="shared" si="98"/>
        <v>6387</v>
      </c>
      <c r="Q483" s="7">
        <f>Q484</f>
        <v>13</v>
      </c>
      <c r="R483" s="36">
        <f t="shared" si="99"/>
        <v>6400</v>
      </c>
    </row>
    <row r="484" spans="1:18" ht="12.75">
      <c r="A484" s="62" t="str">
        <f ca="1" t="shared" si="109"/>
        <v>Расходы на выплаты персоналу казенных учреждений</v>
      </c>
      <c r="B484" s="44" t="s">
        <v>545</v>
      </c>
      <c r="C484" s="8" t="s">
        <v>221</v>
      </c>
      <c r="D484" s="1" t="s">
        <v>198</v>
      </c>
      <c r="E484" s="115">
        <v>110</v>
      </c>
      <c r="F484" s="7">
        <f>'прил.5'!G73</f>
        <v>6387</v>
      </c>
      <c r="G484" s="7">
        <f>'прил.5'!H73</f>
        <v>0</v>
      </c>
      <c r="H484" s="36">
        <f t="shared" si="105"/>
        <v>6387</v>
      </c>
      <c r="I484" s="7">
        <f>'прил.5'!J73</f>
        <v>0</v>
      </c>
      <c r="J484" s="36">
        <f t="shared" si="103"/>
        <v>6387</v>
      </c>
      <c r="K484" s="7">
        <f>'прил.5'!L73</f>
        <v>0</v>
      </c>
      <c r="L484" s="36">
        <f t="shared" si="101"/>
        <v>6387</v>
      </c>
      <c r="M484" s="7">
        <f>'прил.5'!N73</f>
        <v>0</v>
      </c>
      <c r="N484" s="36">
        <f t="shared" si="102"/>
        <v>6387</v>
      </c>
      <c r="O484" s="7">
        <f>'прил.5'!P73</f>
        <v>0</v>
      </c>
      <c r="P484" s="36">
        <f t="shared" si="98"/>
        <v>6387</v>
      </c>
      <c r="Q484" s="7">
        <f>'прил.5'!R73</f>
        <v>13</v>
      </c>
      <c r="R484" s="36">
        <f t="shared" si="99"/>
        <v>6400</v>
      </c>
    </row>
    <row r="485" spans="1:18" ht="12.75">
      <c r="A485" s="62" t="str">
        <f ca="1" t="shared" si="109"/>
        <v>Закупка товаров, работ и услуг для муниципальных нужд</v>
      </c>
      <c r="B485" s="44" t="s">
        <v>545</v>
      </c>
      <c r="C485" s="8" t="s">
        <v>221</v>
      </c>
      <c r="D485" s="1" t="s">
        <v>198</v>
      </c>
      <c r="E485" s="115">
        <v>200</v>
      </c>
      <c r="F485" s="7">
        <f>F486</f>
        <v>4051.8</v>
      </c>
      <c r="G485" s="7">
        <f>G486</f>
        <v>0</v>
      </c>
      <c r="H485" s="36">
        <f t="shared" si="105"/>
        <v>4051.8</v>
      </c>
      <c r="I485" s="7">
        <f>I486</f>
        <v>-2.6</v>
      </c>
      <c r="J485" s="36">
        <f t="shared" si="103"/>
        <v>4049.2000000000003</v>
      </c>
      <c r="K485" s="7">
        <f>K486</f>
        <v>-46.7</v>
      </c>
      <c r="L485" s="36">
        <f t="shared" si="101"/>
        <v>4002.5000000000005</v>
      </c>
      <c r="M485" s="7">
        <f>M486</f>
        <v>0</v>
      </c>
      <c r="N485" s="36">
        <f t="shared" si="102"/>
        <v>4002.5000000000005</v>
      </c>
      <c r="O485" s="7">
        <f>O486</f>
        <v>0</v>
      </c>
      <c r="P485" s="36">
        <f t="shared" si="98"/>
        <v>4002.5000000000005</v>
      </c>
      <c r="Q485" s="7">
        <f>Q486</f>
        <v>-13</v>
      </c>
      <c r="R485" s="36">
        <f t="shared" si="99"/>
        <v>3989.5000000000005</v>
      </c>
    </row>
    <row r="486" spans="1:18" ht="33">
      <c r="A486" s="62" t="str">
        <f ca="1" t="shared" si="109"/>
        <v>Иные закупки товаров, работ и услуг для обеспечения муниципальных нужд</v>
      </c>
      <c r="B486" s="44" t="s">
        <v>545</v>
      </c>
      <c r="C486" s="8" t="s">
        <v>221</v>
      </c>
      <c r="D486" s="1" t="s">
        <v>198</v>
      </c>
      <c r="E486" s="115">
        <v>240</v>
      </c>
      <c r="F486" s="7">
        <f>F487</f>
        <v>4051.8</v>
      </c>
      <c r="G486" s="7">
        <f>G487</f>
        <v>0</v>
      </c>
      <c r="H486" s="36">
        <f t="shared" si="105"/>
        <v>4051.8</v>
      </c>
      <c r="I486" s="7">
        <f>I487</f>
        <v>-2.6</v>
      </c>
      <c r="J486" s="36">
        <f t="shared" si="103"/>
        <v>4049.2000000000003</v>
      </c>
      <c r="K486" s="7">
        <f>K487</f>
        <v>-46.7</v>
      </c>
      <c r="L486" s="36">
        <f t="shared" si="101"/>
        <v>4002.5000000000005</v>
      </c>
      <c r="M486" s="7">
        <f>M487</f>
        <v>0</v>
      </c>
      <c r="N486" s="36">
        <f t="shared" si="102"/>
        <v>4002.5000000000005</v>
      </c>
      <c r="O486" s="7">
        <f>O487</f>
        <v>0</v>
      </c>
      <c r="P486" s="36">
        <f t="shared" si="98"/>
        <v>4002.5000000000005</v>
      </c>
      <c r="Q486" s="7">
        <f>Q487</f>
        <v>-13</v>
      </c>
      <c r="R486" s="36">
        <f t="shared" si="99"/>
        <v>3989.5000000000005</v>
      </c>
    </row>
    <row r="487" spans="1:18" ht="33">
      <c r="A487" s="62" t="str">
        <f ca="1" t="shared" si="109"/>
        <v xml:space="preserve">Прочая закупка товаров, работ и услуг для обеспечения муниципальных нужд         </v>
      </c>
      <c r="B487" s="44" t="s">
        <v>545</v>
      </c>
      <c r="C487" s="8" t="s">
        <v>221</v>
      </c>
      <c r="D487" s="1" t="s">
        <v>198</v>
      </c>
      <c r="E487" s="115">
        <v>244</v>
      </c>
      <c r="F487" s="7">
        <f>'прил.5'!G76</f>
        <v>4051.8</v>
      </c>
      <c r="G487" s="7">
        <f>'прил.5'!H76</f>
        <v>0</v>
      </c>
      <c r="H487" s="36">
        <f t="shared" si="105"/>
        <v>4051.8</v>
      </c>
      <c r="I487" s="7">
        <f>'прил.5'!J76</f>
        <v>-2.6</v>
      </c>
      <c r="J487" s="36">
        <f t="shared" si="103"/>
        <v>4049.2000000000003</v>
      </c>
      <c r="K487" s="7">
        <f>'прил.5'!L76</f>
        <v>-46.7</v>
      </c>
      <c r="L487" s="36">
        <f t="shared" si="101"/>
        <v>4002.5000000000005</v>
      </c>
      <c r="M487" s="7">
        <f>'прил.5'!N76</f>
        <v>0</v>
      </c>
      <c r="N487" s="36">
        <f t="shared" si="102"/>
        <v>4002.5000000000005</v>
      </c>
      <c r="O487" s="7">
        <f>'прил.5'!P76</f>
        <v>0</v>
      </c>
      <c r="P487" s="36">
        <f aca="true" t="shared" si="110" ref="P487:P555">N487+O487</f>
        <v>4002.5000000000005</v>
      </c>
      <c r="Q487" s="7">
        <f>'прил.5'!R76</f>
        <v>-13</v>
      </c>
      <c r="R487" s="36">
        <f aca="true" t="shared" si="111" ref="R487:R555">P487+Q487</f>
        <v>3989.5000000000005</v>
      </c>
    </row>
    <row r="488" spans="1:18" ht="12.75">
      <c r="A488" s="62" t="str">
        <f ca="1" t="shared" si="109"/>
        <v>Иные бюджетные ассигнования</v>
      </c>
      <c r="B488" s="44" t="s">
        <v>545</v>
      </c>
      <c r="C488" s="8" t="s">
        <v>221</v>
      </c>
      <c r="D488" s="1" t="s">
        <v>198</v>
      </c>
      <c r="E488" s="115">
        <v>800</v>
      </c>
      <c r="F488" s="7">
        <f>F489</f>
        <v>2303.1</v>
      </c>
      <c r="G488" s="7">
        <f>G489</f>
        <v>0</v>
      </c>
      <c r="H488" s="36">
        <f t="shared" si="105"/>
        <v>2303.1</v>
      </c>
      <c r="I488" s="7">
        <f>I489</f>
        <v>2.6</v>
      </c>
      <c r="J488" s="36">
        <f t="shared" si="103"/>
        <v>2305.7</v>
      </c>
      <c r="K488" s="7">
        <f>K489</f>
        <v>0</v>
      </c>
      <c r="L488" s="36">
        <f t="shared" si="101"/>
        <v>2305.7</v>
      </c>
      <c r="M488" s="7">
        <f>M489</f>
        <v>0</v>
      </c>
      <c r="N488" s="36">
        <f t="shared" si="102"/>
        <v>2305.7</v>
      </c>
      <c r="O488" s="7">
        <f>O489</f>
        <v>0</v>
      </c>
      <c r="P488" s="36">
        <f t="shared" si="110"/>
        <v>2305.7</v>
      </c>
      <c r="Q488" s="7">
        <f>Q489</f>
        <v>0</v>
      </c>
      <c r="R488" s="36">
        <f t="shared" si="111"/>
        <v>2305.7</v>
      </c>
    </row>
    <row r="489" spans="1:18" ht="12.75">
      <c r="A489" s="62" t="str">
        <f ca="1" t="shared" si="109"/>
        <v>Уплата налогов, сборов и иных платежей</v>
      </c>
      <c r="B489" s="44" t="s">
        <v>545</v>
      </c>
      <c r="C489" s="8" t="s">
        <v>221</v>
      </c>
      <c r="D489" s="1" t="s">
        <v>198</v>
      </c>
      <c r="E489" s="115">
        <v>850</v>
      </c>
      <c r="F489" s="7">
        <f>F490</f>
        <v>2303.1</v>
      </c>
      <c r="G489" s="7">
        <f>G490</f>
        <v>0</v>
      </c>
      <c r="H489" s="36">
        <f t="shared" si="105"/>
        <v>2303.1</v>
      </c>
      <c r="I489" s="7">
        <f>I490+I491</f>
        <v>2.6</v>
      </c>
      <c r="J489" s="36">
        <f t="shared" si="103"/>
        <v>2305.7</v>
      </c>
      <c r="K489" s="7">
        <f>K490+K491</f>
        <v>0</v>
      </c>
      <c r="L489" s="36">
        <f t="shared" si="101"/>
        <v>2305.7</v>
      </c>
      <c r="M489" s="7">
        <f>M490+M491</f>
        <v>0</v>
      </c>
      <c r="N489" s="36">
        <f t="shared" si="102"/>
        <v>2305.7</v>
      </c>
      <c r="O489" s="7">
        <f>O490+O491</f>
        <v>0</v>
      </c>
      <c r="P489" s="36">
        <f t="shared" si="110"/>
        <v>2305.7</v>
      </c>
      <c r="Q489" s="7">
        <f>Q490+Q491</f>
        <v>0</v>
      </c>
      <c r="R489" s="36">
        <f t="shared" si="111"/>
        <v>2305.7</v>
      </c>
    </row>
    <row r="490" spans="1:18" ht="12.75">
      <c r="A490" s="62" t="str">
        <f ca="1">IF(ISERROR(MATCH(E490,Код_КВР,0)),"",INDIRECT(ADDRESS(MATCH(E490,Код_КВР,0)+1,2,,,"КВР")))</f>
        <v>Уплата налога на имущество организаций и земельного налога</v>
      </c>
      <c r="B490" s="44" t="s">
        <v>545</v>
      </c>
      <c r="C490" s="8" t="s">
        <v>221</v>
      </c>
      <c r="D490" s="1" t="s">
        <v>198</v>
      </c>
      <c r="E490" s="115">
        <v>851</v>
      </c>
      <c r="F490" s="7">
        <f>'прил.5'!G79</f>
        <v>2303.1</v>
      </c>
      <c r="G490" s="7">
        <f>'прил.5'!H79</f>
        <v>0</v>
      </c>
      <c r="H490" s="36">
        <f t="shared" si="105"/>
        <v>2303.1</v>
      </c>
      <c r="I490" s="7">
        <f>'прил.5'!J79</f>
        <v>0</v>
      </c>
      <c r="J490" s="36">
        <f t="shared" si="103"/>
        <v>2303.1</v>
      </c>
      <c r="K490" s="7">
        <f>'прил.5'!L79</f>
        <v>0</v>
      </c>
      <c r="L490" s="36">
        <f t="shared" si="101"/>
        <v>2303.1</v>
      </c>
      <c r="M490" s="7">
        <f>'прил.5'!N79</f>
        <v>0</v>
      </c>
      <c r="N490" s="36">
        <f t="shared" si="102"/>
        <v>2303.1</v>
      </c>
      <c r="O490" s="7">
        <f>'прил.5'!P79</f>
        <v>0</v>
      </c>
      <c r="P490" s="36">
        <f t="shared" si="110"/>
        <v>2303.1</v>
      </c>
      <c r="Q490" s="7">
        <f>'прил.5'!R79</f>
        <v>0</v>
      </c>
      <c r="R490" s="36">
        <f t="shared" si="111"/>
        <v>2303.1</v>
      </c>
    </row>
    <row r="491" spans="1:18" ht="12.75" hidden="1">
      <c r="A491" s="62" t="str">
        <f ca="1">IF(ISERROR(MATCH(E491,Код_КВР,0)),"",INDIRECT(ADDRESS(MATCH(E491,Код_КВР,0)+1,2,,,"КВР")))</f>
        <v>Уплата прочих налогов, сборов и иных платежей</v>
      </c>
      <c r="B491" s="44" t="s">
        <v>545</v>
      </c>
      <c r="C491" s="8" t="s">
        <v>221</v>
      </c>
      <c r="D491" s="1" t="s">
        <v>198</v>
      </c>
      <c r="E491" s="115">
        <v>852</v>
      </c>
      <c r="F491" s="7"/>
      <c r="G491" s="7"/>
      <c r="H491" s="36"/>
      <c r="I491" s="7">
        <f>'прил.5'!J80</f>
        <v>2.6</v>
      </c>
      <c r="J491" s="36"/>
      <c r="K491" s="7">
        <f>'прил.5'!L80</f>
        <v>0</v>
      </c>
      <c r="L491" s="36">
        <f t="shared" si="101"/>
        <v>0</v>
      </c>
      <c r="M491" s="7">
        <f>'прил.5'!N80</f>
        <v>0</v>
      </c>
      <c r="N491" s="36">
        <f t="shared" si="102"/>
        <v>0</v>
      </c>
      <c r="O491" s="7">
        <f>'прил.5'!P80</f>
        <v>0</v>
      </c>
      <c r="P491" s="36">
        <f t="shared" si="110"/>
        <v>0</v>
      </c>
      <c r="Q491" s="7">
        <f>'прил.5'!R80</f>
        <v>0</v>
      </c>
      <c r="R491" s="36">
        <f t="shared" si="111"/>
        <v>0</v>
      </c>
    </row>
    <row r="492" spans="1:18" ht="105" customHeight="1">
      <c r="A492" s="62" t="str">
        <f ca="1">IF(ISERROR(MATCH(B492,Код_КЦСР,0)),"",INDIRECT(ADDRESS(MATCH(B492,Код_КЦСР,0)+1,2,,,"КЦСР")))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92" s="115" t="s">
        <v>392</v>
      </c>
      <c r="C492" s="8"/>
      <c r="D492" s="1"/>
      <c r="E492" s="115"/>
      <c r="F492" s="7">
        <f>F493</f>
        <v>1072</v>
      </c>
      <c r="G492" s="7">
        <f>G493</f>
        <v>0</v>
      </c>
      <c r="H492" s="36">
        <f t="shared" si="105"/>
        <v>1072</v>
      </c>
      <c r="I492" s="7">
        <f>I493</f>
        <v>0</v>
      </c>
      <c r="J492" s="36">
        <f t="shared" si="103"/>
        <v>1072</v>
      </c>
      <c r="K492" s="7">
        <f>K493</f>
        <v>0</v>
      </c>
      <c r="L492" s="36">
        <f t="shared" si="101"/>
        <v>1072</v>
      </c>
      <c r="M492" s="7">
        <f>M493</f>
        <v>0</v>
      </c>
      <c r="N492" s="36">
        <f t="shared" si="102"/>
        <v>1072</v>
      </c>
      <c r="O492" s="7">
        <f>O493</f>
        <v>0</v>
      </c>
      <c r="P492" s="36">
        <f t="shared" si="110"/>
        <v>1072</v>
      </c>
      <c r="Q492" s="7">
        <f>Q493</f>
        <v>0</v>
      </c>
      <c r="R492" s="36">
        <f t="shared" si="111"/>
        <v>1072</v>
      </c>
    </row>
    <row r="493" spans="1:18" ht="12.75">
      <c r="A493" s="62" t="str">
        <f ca="1">IF(ISERROR(MATCH(C493,Код_Раздел,0)),"",INDIRECT(ADDRESS(MATCH(C493,Код_Раздел,0)+1,2,,,"Раздел")))</f>
        <v>Общегосударственные  вопросы</v>
      </c>
      <c r="B493" s="115" t="s">
        <v>392</v>
      </c>
      <c r="C493" s="8" t="s">
        <v>221</v>
      </c>
      <c r="D493" s="1"/>
      <c r="E493" s="115"/>
      <c r="F493" s="7">
        <f>F494</f>
        <v>1072</v>
      </c>
      <c r="G493" s="7">
        <f>G494</f>
        <v>0</v>
      </c>
      <c r="H493" s="36">
        <f t="shared" si="105"/>
        <v>1072</v>
      </c>
      <c r="I493" s="7">
        <f>I494</f>
        <v>0</v>
      </c>
      <c r="J493" s="36">
        <f t="shared" si="103"/>
        <v>1072</v>
      </c>
      <c r="K493" s="7">
        <f>K494</f>
        <v>0</v>
      </c>
      <c r="L493" s="36">
        <f t="shared" si="101"/>
        <v>1072</v>
      </c>
      <c r="M493" s="7">
        <f>M494</f>
        <v>0</v>
      </c>
      <c r="N493" s="36">
        <f t="shared" si="102"/>
        <v>1072</v>
      </c>
      <c r="O493" s="7">
        <f>O494</f>
        <v>0</v>
      </c>
      <c r="P493" s="36">
        <f t="shared" si="110"/>
        <v>1072</v>
      </c>
      <c r="Q493" s="7">
        <f>Q494</f>
        <v>0</v>
      </c>
      <c r="R493" s="36">
        <f t="shared" si="111"/>
        <v>1072</v>
      </c>
    </row>
    <row r="494" spans="1:18" ht="18.75" customHeight="1">
      <c r="A494" s="12" t="s">
        <v>245</v>
      </c>
      <c r="B494" s="115" t="s">
        <v>392</v>
      </c>
      <c r="C494" s="8" t="s">
        <v>221</v>
      </c>
      <c r="D494" s="1" t="s">
        <v>198</v>
      </c>
      <c r="E494" s="115"/>
      <c r="F494" s="7">
        <f>F495+F497</f>
        <v>1072</v>
      </c>
      <c r="G494" s="7">
        <f>G495+G497</f>
        <v>0</v>
      </c>
      <c r="H494" s="36">
        <f t="shared" si="105"/>
        <v>1072</v>
      </c>
      <c r="I494" s="7">
        <f>I495+I497</f>
        <v>0</v>
      </c>
      <c r="J494" s="36">
        <f t="shared" si="103"/>
        <v>1072</v>
      </c>
      <c r="K494" s="7">
        <f>K495+K497</f>
        <v>0</v>
      </c>
      <c r="L494" s="36">
        <f t="shared" si="101"/>
        <v>1072</v>
      </c>
      <c r="M494" s="7">
        <f>M495+M497</f>
        <v>0</v>
      </c>
      <c r="N494" s="36">
        <f t="shared" si="102"/>
        <v>1072</v>
      </c>
      <c r="O494" s="7">
        <f>O495+O497</f>
        <v>0</v>
      </c>
      <c r="P494" s="36">
        <f t="shared" si="110"/>
        <v>1072</v>
      </c>
      <c r="Q494" s="7">
        <f>Q495+Q497</f>
        <v>0</v>
      </c>
      <c r="R494" s="36">
        <f t="shared" si="111"/>
        <v>1072</v>
      </c>
    </row>
    <row r="495" spans="1:18" ht="36" customHeight="1">
      <c r="A495" s="62" t="str">
        <f ca="1">IF(ISERROR(MATCH(E495,Код_КВР,0)),"",INDIRECT(ADDRESS(MATCH(E495,Код_КВР,0)+1,2,,,"КВР")))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5" s="115" t="s">
        <v>392</v>
      </c>
      <c r="C495" s="8" t="s">
        <v>221</v>
      </c>
      <c r="D495" s="1" t="s">
        <v>198</v>
      </c>
      <c r="E495" s="115">
        <v>100</v>
      </c>
      <c r="F495" s="7">
        <f>F496</f>
        <v>305.2</v>
      </c>
      <c r="G495" s="7">
        <f>G496</f>
        <v>0</v>
      </c>
      <c r="H495" s="36">
        <f t="shared" si="105"/>
        <v>305.2</v>
      </c>
      <c r="I495" s="7">
        <f>I496</f>
        <v>0</v>
      </c>
      <c r="J495" s="36">
        <f t="shared" si="103"/>
        <v>305.2</v>
      </c>
      <c r="K495" s="7">
        <f>K496</f>
        <v>0</v>
      </c>
      <c r="L495" s="36">
        <f aca="true" t="shared" si="112" ref="L495:L563">J495+K495</f>
        <v>305.2</v>
      </c>
      <c r="M495" s="7">
        <f>M496</f>
        <v>0</v>
      </c>
      <c r="N495" s="36">
        <f aca="true" t="shared" si="113" ref="N495:N563">L495+M495</f>
        <v>305.2</v>
      </c>
      <c r="O495" s="7">
        <f>O496</f>
        <v>0</v>
      </c>
      <c r="P495" s="36">
        <f t="shared" si="110"/>
        <v>305.2</v>
      </c>
      <c r="Q495" s="7">
        <f>Q496</f>
        <v>0</v>
      </c>
      <c r="R495" s="36">
        <f t="shared" si="111"/>
        <v>305.2</v>
      </c>
    </row>
    <row r="496" spans="1:18" ht="12.75">
      <c r="A496" s="62" t="str">
        <f ca="1">IF(ISERROR(MATCH(E496,Код_КВР,0)),"",INDIRECT(ADDRESS(MATCH(E496,Код_КВР,0)+1,2,,,"КВР")))</f>
        <v>Расходы на выплаты персоналу казенных учреждений</v>
      </c>
      <c r="B496" s="115" t="s">
        <v>392</v>
      </c>
      <c r="C496" s="8" t="s">
        <v>221</v>
      </c>
      <c r="D496" s="1" t="s">
        <v>198</v>
      </c>
      <c r="E496" s="115">
        <v>110</v>
      </c>
      <c r="F496" s="7">
        <f>'прил.5'!G83</f>
        <v>305.2</v>
      </c>
      <c r="G496" s="7">
        <f>'прил.5'!H83</f>
        <v>0</v>
      </c>
      <c r="H496" s="36">
        <f t="shared" si="105"/>
        <v>305.2</v>
      </c>
      <c r="I496" s="7">
        <f>'прил.5'!J83</f>
        <v>0</v>
      </c>
      <c r="J496" s="36">
        <f t="shared" si="103"/>
        <v>305.2</v>
      </c>
      <c r="K496" s="7">
        <f>'прил.5'!L83</f>
        <v>0</v>
      </c>
      <c r="L496" s="36">
        <f t="shared" si="112"/>
        <v>305.2</v>
      </c>
      <c r="M496" s="7">
        <f>'прил.5'!N83</f>
        <v>0</v>
      </c>
      <c r="N496" s="36">
        <f t="shared" si="113"/>
        <v>305.2</v>
      </c>
      <c r="O496" s="7">
        <f>'прил.5'!P83</f>
        <v>0</v>
      </c>
      <c r="P496" s="36">
        <f t="shared" si="110"/>
        <v>305.2</v>
      </c>
      <c r="Q496" s="7">
        <f>'прил.5'!R83</f>
        <v>0</v>
      </c>
      <c r="R496" s="36">
        <f t="shared" si="111"/>
        <v>305.2</v>
      </c>
    </row>
    <row r="497" spans="1:18" ht="12.75">
      <c r="A497" s="62" t="str">
        <f ca="1">IF(ISERROR(MATCH(E497,Код_КВР,0)),"",INDIRECT(ADDRESS(MATCH(E497,Код_КВР,0)+1,2,,,"КВР")))</f>
        <v>Закупка товаров, работ и услуг для муниципальных нужд</v>
      </c>
      <c r="B497" s="115" t="s">
        <v>392</v>
      </c>
      <c r="C497" s="8" t="s">
        <v>221</v>
      </c>
      <c r="D497" s="1" t="s">
        <v>198</v>
      </c>
      <c r="E497" s="115">
        <v>200</v>
      </c>
      <c r="F497" s="7">
        <f>F498</f>
        <v>766.8</v>
      </c>
      <c r="G497" s="7">
        <f>G498</f>
        <v>0</v>
      </c>
      <c r="H497" s="36">
        <f t="shared" si="105"/>
        <v>766.8</v>
      </c>
      <c r="I497" s="7">
        <f>I498</f>
        <v>0</v>
      </c>
      <c r="J497" s="36">
        <f t="shared" si="103"/>
        <v>766.8</v>
      </c>
      <c r="K497" s="7">
        <f>K498</f>
        <v>0</v>
      </c>
      <c r="L497" s="36">
        <f t="shared" si="112"/>
        <v>766.8</v>
      </c>
      <c r="M497" s="7">
        <f>M498</f>
        <v>0</v>
      </c>
      <c r="N497" s="36">
        <f t="shared" si="113"/>
        <v>766.8</v>
      </c>
      <c r="O497" s="7">
        <f>O498</f>
        <v>0</v>
      </c>
      <c r="P497" s="36">
        <f t="shared" si="110"/>
        <v>766.8</v>
      </c>
      <c r="Q497" s="7">
        <f>Q498</f>
        <v>0</v>
      </c>
      <c r="R497" s="36">
        <f t="shared" si="111"/>
        <v>766.8</v>
      </c>
    </row>
    <row r="498" spans="1:18" ht="35.25" customHeight="1">
      <c r="A498" s="62" t="str">
        <f ca="1">IF(ISERROR(MATCH(E498,Код_КВР,0)),"",INDIRECT(ADDRESS(MATCH(E498,Код_КВР,0)+1,2,,,"КВР")))</f>
        <v>Иные закупки товаров, работ и услуг для обеспечения муниципальных нужд</v>
      </c>
      <c r="B498" s="115" t="s">
        <v>392</v>
      </c>
      <c r="C498" s="8" t="s">
        <v>221</v>
      </c>
      <c r="D498" s="1" t="s">
        <v>198</v>
      </c>
      <c r="E498" s="115">
        <v>240</v>
      </c>
      <c r="F498" s="7">
        <f>F499</f>
        <v>766.8</v>
      </c>
      <c r="G498" s="7">
        <f>G499</f>
        <v>0</v>
      </c>
      <c r="H498" s="36">
        <f t="shared" si="105"/>
        <v>766.8</v>
      </c>
      <c r="I498" s="7">
        <f>I499</f>
        <v>0</v>
      </c>
      <c r="J498" s="36">
        <f aca="true" t="shared" si="114" ref="J498:J566">H498+I498</f>
        <v>766.8</v>
      </c>
      <c r="K498" s="7">
        <f>K499</f>
        <v>0</v>
      </c>
      <c r="L498" s="36">
        <f t="shared" si="112"/>
        <v>766.8</v>
      </c>
      <c r="M498" s="7">
        <f>M499</f>
        <v>0</v>
      </c>
      <c r="N498" s="36">
        <f t="shared" si="113"/>
        <v>766.8</v>
      </c>
      <c r="O498" s="7">
        <f>O499</f>
        <v>0</v>
      </c>
      <c r="P498" s="36">
        <f t="shared" si="110"/>
        <v>766.8</v>
      </c>
      <c r="Q498" s="7">
        <f>Q499</f>
        <v>0</v>
      </c>
      <c r="R498" s="36">
        <f t="shared" si="111"/>
        <v>766.8</v>
      </c>
    </row>
    <row r="499" spans="1:18" ht="33">
      <c r="A499" s="62" t="str">
        <f ca="1">IF(ISERROR(MATCH(E499,Код_КВР,0)),"",INDIRECT(ADDRESS(MATCH(E499,Код_КВР,0)+1,2,,,"КВР")))</f>
        <v xml:space="preserve">Прочая закупка товаров, работ и услуг для обеспечения муниципальных нужд         </v>
      </c>
      <c r="B499" s="115" t="s">
        <v>392</v>
      </c>
      <c r="C499" s="8" t="s">
        <v>221</v>
      </c>
      <c r="D499" s="1" t="s">
        <v>198</v>
      </c>
      <c r="E499" s="115">
        <v>244</v>
      </c>
      <c r="F499" s="7">
        <f>'прил.5'!G86</f>
        <v>766.8</v>
      </c>
      <c r="G499" s="7">
        <f>'прил.5'!H86</f>
        <v>0</v>
      </c>
      <c r="H499" s="36">
        <f t="shared" si="105"/>
        <v>766.8</v>
      </c>
      <c r="I499" s="7">
        <f>'прил.5'!J86</f>
        <v>0</v>
      </c>
      <c r="J499" s="36">
        <f t="shared" si="114"/>
        <v>766.8</v>
      </c>
      <c r="K499" s="7">
        <f>'прил.5'!L86</f>
        <v>0</v>
      </c>
      <c r="L499" s="36">
        <f t="shared" si="112"/>
        <v>766.8</v>
      </c>
      <c r="M499" s="7">
        <f>'прил.5'!N86</f>
        <v>0</v>
      </c>
      <c r="N499" s="36">
        <f t="shared" si="113"/>
        <v>766.8</v>
      </c>
      <c r="O499" s="7">
        <f>'прил.5'!P86</f>
        <v>0</v>
      </c>
      <c r="P499" s="36">
        <f t="shared" si="110"/>
        <v>766.8</v>
      </c>
      <c r="Q499" s="7">
        <f>'прил.5'!R86</f>
        <v>0</v>
      </c>
      <c r="R499" s="36">
        <f t="shared" si="111"/>
        <v>766.8</v>
      </c>
    </row>
    <row r="500" spans="1:18" ht="33">
      <c r="A500" s="62" t="str">
        <f ca="1">IF(ISERROR(MATCH(B500,Код_КЦСР,0)),"",INDIRECT(ADDRESS(MATCH(B500,Код_КЦСР,0)+1,2,,,"КЦСР")))</f>
        <v>Муниципальная программа «Охрана окружающей среды» на 2013-2022 годы</v>
      </c>
      <c r="B500" s="46" t="s">
        <v>547</v>
      </c>
      <c r="C500" s="8"/>
      <c r="D500" s="1"/>
      <c r="E500" s="115"/>
      <c r="F500" s="7">
        <f>F501+F507+F518+F524</f>
        <v>5500</v>
      </c>
      <c r="G500" s="7">
        <f>G501+G507+G518+G524</f>
        <v>0</v>
      </c>
      <c r="H500" s="36">
        <f t="shared" si="105"/>
        <v>5500</v>
      </c>
      <c r="I500" s="7">
        <f>I501+I507+I518+I524</f>
        <v>0</v>
      </c>
      <c r="J500" s="36">
        <f t="shared" si="114"/>
        <v>5500</v>
      </c>
      <c r="K500" s="7">
        <f>K501+K507+K518+K524</f>
        <v>-0.6</v>
      </c>
      <c r="L500" s="36">
        <f t="shared" si="112"/>
        <v>5499.4</v>
      </c>
      <c r="M500" s="7">
        <f>M501+M507+M518+M524</f>
        <v>-164.3</v>
      </c>
      <c r="N500" s="36">
        <f t="shared" si="113"/>
        <v>5335.099999999999</v>
      </c>
      <c r="O500" s="7">
        <f>O501+O507+O518+O524</f>
        <v>0</v>
      </c>
      <c r="P500" s="36">
        <f t="shared" si="110"/>
        <v>5335.099999999999</v>
      </c>
      <c r="Q500" s="7">
        <f>Q501+Q507+Q518+Q524</f>
        <v>0</v>
      </c>
      <c r="R500" s="36">
        <f t="shared" si="111"/>
        <v>5335.099999999999</v>
      </c>
    </row>
    <row r="501" spans="1:18" ht="36.75" customHeight="1">
      <c r="A501" s="62" t="str">
        <f ca="1">IF(ISERROR(MATCH(B501,Код_КЦСР,0)),"",INDIRECT(ADDRESS(MATCH(B501,Код_КЦСР,0)+1,2,,,"КЦСР")))</f>
        <v>Сбор и анализ информации о факторах окружающей среды и оценка их влияния на здоровье населения</v>
      </c>
      <c r="B501" s="46" t="s">
        <v>549</v>
      </c>
      <c r="C501" s="8"/>
      <c r="D501" s="1"/>
      <c r="E501" s="115"/>
      <c r="F501" s="7">
        <f aca="true" t="shared" si="115" ref="F501:Q505">F502</f>
        <v>4795</v>
      </c>
      <c r="G501" s="7">
        <f t="shared" si="115"/>
        <v>0</v>
      </c>
      <c r="H501" s="36">
        <f t="shared" si="105"/>
        <v>4795</v>
      </c>
      <c r="I501" s="7">
        <f t="shared" si="115"/>
        <v>0</v>
      </c>
      <c r="J501" s="36">
        <f t="shared" si="114"/>
        <v>4795</v>
      </c>
      <c r="K501" s="7">
        <f t="shared" si="115"/>
        <v>-0.6</v>
      </c>
      <c r="L501" s="36">
        <f t="shared" si="112"/>
        <v>4794.4</v>
      </c>
      <c r="M501" s="7">
        <f t="shared" si="115"/>
        <v>0</v>
      </c>
      <c r="N501" s="36">
        <f t="shared" si="113"/>
        <v>4794.4</v>
      </c>
      <c r="O501" s="7">
        <f t="shared" si="115"/>
        <v>0</v>
      </c>
      <c r="P501" s="36">
        <f t="shared" si="110"/>
        <v>4794.4</v>
      </c>
      <c r="Q501" s="7">
        <f t="shared" si="115"/>
        <v>0</v>
      </c>
      <c r="R501" s="36">
        <f t="shared" si="111"/>
        <v>4794.4</v>
      </c>
    </row>
    <row r="502" spans="1:18" ht="12.75">
      <c r="A502" s="62" t="str">
        <f ca="1">IF(ISERROR(MATCH(C502,Код_Раздел,0)),"",INDIRECT(ADDRESS(MATCH(C502,Код_Раздел,0)+1,2,,,"Раздел")))</f>
        <v>Охрана окружающей среды</v>
      </c>
      <c r="B502" s="46" t="s">
        <v>549</v>
      </c>
      <c r="C502" s="8" t="s">
        <v>225</v>
      </c>
      <c r="D502" s="1"/>
      <c r="E502" s="115"/>
      <c r="F502" s="7">
        <f t="shared" si="115"/>
        <v>4795</v>
      </c>
      <c r="G502" s="7">
        <f t="shared" si="115"/>
        <v>0</v>
      </c>
      <c r="H502" s="36">
        <f t="shared" si="105"/>
        <v>4795</v>
      </c>
      <c r="I502" s="7">
        <f t="shared" si="115"/>
        <v>0</v>
      </c>
      <c r="J502" s="36">
        <f t="shared" si="114"/>
        <v>4795</v>
      </c>
      <c r="K502" s="7">
        <f t="shared" si="115"/>
        <v>-0.6</v>
      </c>
      <c r="L502" s="36">
        <f t="shared" si="112"/>
        <v>4794.4</v>
      </c>
      <c r="M502" s="7">
        <f t="shared" si="115"/>
        <v>0</v>
      </c>
      <c r="N502" s="36">
        <f t="shared" si="113"/>
        <v>4794.4</v>
      </c>
      <c r="O502" s="7">
        <f t="shared" si="115"/>
        <v>0</v>
      </c>
      <c r="P502" s="36">
        <f t="shared" si="110"/>
        <v>4794.4</v>
      </c>
      <c r="Q502" s="7">
        <f t="shared" si="115"/>
        <v>0</v>
      </c>
      <c r="R502" s="36">
        <f t="shared" si="111"/>
        <v>4794.4</v>
      </c>
    </row>
    <row r="503" spans="1:18" ht="12.75">
      <c r="A503" s="12" t="s">
        <v>263</v>
      </c>
      <c r="B503" s="46" t="s">
        <v>549</v>
      </c>
      <c r="C503" s="8" t="s">
        <v>225</v>
      </c>
      <c r="D503" s="1" t="s">
        <v>229</v>
      </c>
      <c r="E503" s="115"/>
      <c r="F503" s="7">
        <f t="shared" si="115"/>
        <v>4795</v>
      </c>
      <c r="G503" s="7">
        <f t="shared" si="115"/>
        <v>0</v>
      </c>
      <c r="H503" s="36">
        <f t="shared" si="105"/>
        <v>4795</v>
      </c>
      <c r="I503" s="7">
        <f t="shared" si="115"/>
        <v>0</v>
      </c>
      <c r="J503" s="36">
        <f t="shared" si="114"/>
        <v>4795</v>
      </c>
      <c r="K503" s="7">
        <f t="shared" si="115"/>
        <v>-0.6</v>
      </c>
      <c r="L503" s="36">
        <f t="shared" si="112"/>
        <v>4794.4</v>
      </c>
      <c r="M503" s="7">
        <f t="shared" si="115"/>
        <v>0</v>
      </c>
      <c r="N503" s="36">
        <f t="shared" si="113"/>
        <v>4794.4</v>
      </c>
      <c r="O503" s="7">
        <f t="shared" si="115"/>
        <v>0</v>
      </c>
      <c r="P503" s="36">
        <f t="shared" si="110"/>
        <v>4794.4</v>
      </c>
      <c r="Q503" s="7">
        <f t="shared" si="115"/>
        <v>0</v>
      </c>
      <c r="R503" s="36">
        <f t="shared" si="111"/>
        <v>4794.4</v>
      </c>
    </row>
    <row r="504" spans="1:18" ht="12.75">
      <c r="A504" s="62" t="str">
        <f ca="1">IF(ISERROR(MATCH(E504,Код_КВР,0)),"",INDIRECT(ADDRESS(MATCH(E504,Код_КВР,0)+1,2,,,"КВР")))</f>
        <v>Закупка товаров, работ и услуг для муниципальных нужд</v>
      </c>
      <c r="B504" s="46" t="s">
        <v>549</v>
      </c>
      <c r="C504" s="8" t="s">
        <v>225</v>
      </c>
      <c r="D504" s="1" t="s">
        <v>229</v>
      </c>
      <c r="E504" s="115">
        <v>200</v>
      </c>
      <c r="F504" s="7">
        <f t="shared" si="115"/>
        <v>4795</v>
      </c>
      <c r="G504" s="7">
        <f t="shared" si="115"/>
        <v>0</v>
      </c>
      <c r="H504" s="36">
        <f t="shared" si="105"/>
        <v>4795</v>
      </c>
      <c r="I504" s="7">
        <f t="shared" si="115"/>
        <v>0</v>
      </c>
      <c r="J504" s="36">
        <f t="shared" si="114"/>
        <v>4795</v>
      </c>
      <c r="K504" s="7">
        <f t="shared" si="115"/>
        <v>-0.6</v>
      </c>
      <c r="L504" s="36">
        <f t="shared" si="112"/>
        <v>4794.4</v>
      </c>
      <c r="M504" s="7">
        <f t="shared" si="115"/>
        <v>0</v>
      </c>
      <c r="N504" s="36">
        <f t="shared" si="113"/>
        <v>4794.4</v>
      </c>
      <c r="O504" s="7">
        <f t="shared" si="115"/>
        <v>0</v>
      </c>
      <c r="P504" s="36">
        <f t="shared" si="110"/>
        <v>4794.4</v>
      </c>
      <c r="Q504" s="7">
        <f t="shared" si="115"/>
        <v>0</v>
      </c>
      <c r="R504" s="36">
        <f t="shared" si="111"/>
        <v>4794.4</v>
      </c>
    </row>
    <row r="505" spans="1:18" ht="33.75" customHeight="1">
      <c r="A505" s="62" t="str">
        <f ca="1">IF(ISERROR(MATCH(E505,Код_КВР,0)),"",INDIRECT(ADDRESS(MATCH(E505,Код_КВР,0)+1,2,,,"КВР")))</f>
        <v>Иные закупки товаров, работ и услуг для обеспечения муниципальных нужд</v>
      </c>
      <c r="B505" s="46" t="s">
        <v>549</v>
      </c>
      <c r="C505" s="8" t="s">
        <v>225</v>
      </c>
      <c r="D505" s="1" t="s">
        <v>229</v>
      </c>
      <c r="E505" s="115">
        <v>240</v>
      </c>
      <c r="F505" s="7">
        <f t="shared" si="115"/>
        <v>4795</v>
      </c>
      <c r="G505" s="7">
        <f t="shared" si="115"/>
        <v>0</v>
      </c>
      <c r="H505" s="36">
        <f t="shared" si="105"/>
        <v>4795</v>
      </c>
      <c r="I505" s="7">
        <f t="shared" si="115"/>
        <v>0</v>
      </c>
      <c r="J505" s="36">
        <f t="shared" si="114"/>
        <v>4795</v>
      </c>
      <c r="K505" s="7">
        <f t="shared" si="115"/>
        <v>-0.6</v>
      </c>
      <c r="L505" s="36">
        <f t="shared" si="112"/>
        <v>4794.4</v>
      </c>
      <c r="M505" s="7">
        <f t="shared" si="115"/>
        <v>0</v>
      </c>
      <c r="N505" s="36">
        <f t="shared" si="113"/>
        <v>4794.4</v>
      </c>
      <c r="O505" s="7">
        <f t="shared" si="115"/>
        <v>0</v>
      </c>
      <c r="P505" s="36">
        <f t="shared" si="110"/>
        <v>4794.4</v>
      </c>
      <c r="Q505" s="7">
        <f t="shared" si="115"/>
        <v>0</v>
      </c>
      <c r="R505" s="36">
        <f t="shared" si="111"/>
        <v>4794.4</v>
      </c>
    </row>
    <row r="506" spans="1:18" ht="33">
      <c r="A506" s="62" t="str">
        <f ca="1">IF(ISERROR(MATCH(E506,Код_КВР,0)),"",INDIRECT(ADDRESS(MATCH(E506,Код_КВР,0)+1,2,,,"КВР")))</f>
        <v xml:space="preserve">Прочая закупка товаров, работ и услуг для обеспечения муниципальных нужд         </v>
      </c>
      <c r="B506" s="46" t="s">
        <v>549</v>
      </c>
      <c r="C506" s="8" t="s">
        <v>225</v>
      </c>
      <c r="D506" s="1" t="s">
        <v>229</v>
      </c>
      <c r="E506" s="115">
        <v>244</v>
      </c>
      <c r="F506" s="7">
        <f>'прил.5'!G1620</f>
        <v>4795</v>
      </c>
      <c r="G506" s="7">
        <f>'прил.5'!H1620</f>
        <v>0</v>
      </c>
      <c r="H506" s="36">
        <f aca="true" t="shared" si="116" ref="H506:H574">F506+G506</f>
        <v>4795</v>
      </c>
      <c r="I506" s="7">
        <f>'прил.5'!J1620</f>
        <v>0</v>
      </c>
      <c r="J506" s="36">
        <f t="shared" si="114"/>
        <v>4795</v>
      </c>
      <c r="K506" s="7">
        <f>'прил.5'!L1620</f>
        <v>-0.6</v>
      </c>
      <c r="L506" s="36">
        <f t="shared" si="112"/>
        <v>4794.4</v>
      </c>
      <c r="M506" s="7">
        <f>'прил.5'!N1620</f>
        <v>0</v>
      </c>
      <c r="N506" s="36">
        <f t="shared" si="113"/>
        <v>4794.4</v>
      </c>
      <c r="O506" s="7">
        <f>'прил.5'!P1620</f>
        <v>0</v>
      </c>
      <c r="P506" s="36">
        <f t="shared" si="110"/>
        <v>4794.4</v>
      </c>
      <c r="Q506" s="7">
        <f>'прил.5'!R1620</f>
        <v>0</v>
      </c>
      <c r="R506" s="36">
        <f t="shared" si="111"/>
        <v>4794.4</v>
      </c>
    </row>
    <row r="507" spans="1:18" ht="33">
      <c r="A507" s="62" t="str">
        <f ca="1">IF(ISERROR(MATCH(B507,Код_КЦСР,0)),"",INDIRECT(ADDRESS(MATCH(B507,Код_КЦСР,0)+1,2,,,"КЦСР")))</f>
        <v>Организация мероприятий по экологическому образованию и воспитанию населения</v>
      </c>
      <c r="B507" s="46" t="s">
        <v>551</v>
      </c>
      <c r="C507" s="8"/>
      <c r="D507" s="1"/>
      <c r="E507" s="115"/>
      <c r="F507" s="7">
        <f>F508+F513</f>
        <v>475</v>
      </c>
      <c r="G507" s="7">
        <f>G508+G513</f>
        <v>0</v>
      </c>
      <c r="H507" s="36">
        <f t="shared" si="116"/>
        <v>475</v>
      </c>
      <c r="I507" s="7">
        <f>I508+I513</f>
        <v>0</v>
      </c>
      <c r="J507" s="36">
        <f t="shared" si="114"/>
        <v>475</v>
      </c>
      <c r="K507" s="7">
        <f>K508+K513</f>
        <v>0</v>
      </c>
      <c r="L507" s="36">
        <f t="shared" si="112"/>
        <v>475</v>
      </c>
      <c r="M507" s="7">
        <f>M508+M513</f>
        <v>0</v>
      </c>
      <c r="N507" s="36">
        <f t="shared" si="113"/>
        <v>475</v>
      </c>
      <c r="O507" s="7">
        <f>O508+O513</f>
        <v>0</v>
      </c>
      <c r="P507" s="36">
        <f t="shared" si="110"/>
        <v>475</v>
      </c>
      <c r="Q507" s="7">
        <f>Q508+Q513</f>
        <v>0</v>
      </c>
      <c r="R507" s="36">
        <f t="shared" si="111"/>
        <v>475</v>
      </c>
    </row>
    <row r="508" spans="1:18" ht="12.75">
      <c r="A508" s="62" t="str">
        <f ca="1">IF(ISERROR(MATCH(C508,Код_Раздел,0)),"",INDIRECT(ADDRESS(MATCH(C508,Код_Раздел,0)+1,2,,,"Раздел")))</f>
        <v>Образование</v>
      </c>
      <c r="B508" s="46" t="s">
        <v>551</v>
      </c>
      <c r="C508" s="8" t="s">
        <v>203</v>
      </c>
      <c r="D508" s="1"/>
      <c r="E508" s="115"/>
      <c r="F508" s="7">
        <f aca="true" t="shared" si="117" ref="F508:Q511">F509</f>
        <v>465</v>
      </c>
      <c r="G508" s="7">
        <f t="shared" si="117"/>
        <v>0</v>
      </c>
      <c r="H508" s="36">
        <f t="shared" si="116"/>
        <v>465</v>
      </c>
      <c r="I508" s="7">
        <f t="shared" si="117"/>
        <v>0</v>
      </c>
      <c r="J508" s="36">
        <f t="shared" si="114"/>
        <v>465</v>
      </c>
      <c r="K508" s="7">
        <f t="shared" si="117"/>
        <v>0</v>
      </c>
      <c r="L508" s="36">
        <f t="shared" si="112"/>
        <v>465</v>
      </c>
      <c r="M508" s="7">
        <f t="shared" si="117"/>
        <v>0</v>
      </c>
      <c r="N508" s="36">
        <f t="shared" si="113"/>
        <v>465</v>
      </c>
      <c r="O508" s="7">
        <f t="shared" si="117"/>
        <v>0</v>
      </c>
      <c r="P508" s="36">
        <f t="shared" si="110"/>
        <v>465</v>
      </c>
      <c r="Q508" s="7">
        <f t="shared" si="117"/>
        <v>0</v>
      </c>
      <c r="R508" s="36">
        <f t="shared" si="111"/>
        <v>465</v>
      </c>
    </row>
    <row r="509" spans="1:18" ht="12.75">
      <c r="A509" s="12" t="s">
        <v>259</v>
      </c>
      <c r="B509" s="46" t="s">
        <v>551</v>
      </c>
      <c r="C509" s="8" t="s">
        <v>203</v>
      </c>
      <c r="D509" s="1" t="s">
        <v>227</v>
      </c>
      <c r="E509" s="115"/>
      <c r="F509" s="7">
        <f t="shared" si="117"/>
        <v>465</v>
      </c>
      <c r="G509" s="7">
        <f t="shared" si="117"/>
        <v>0</v>
      </c>
      <c r="H509" s="36">
        <f t="shared" si="116"/>
        <v>465</v>
      </c>
      <c r="I509" s="7">
        <f t="shared" si="117"/>
        <v>0</v>
      </c>
      <c r="J509" s="36">
        <f t="shared" si="114"/>
        <v>465</v>
      </c>
      <c r="K509" s="7">
        <f t="shared" si="117"/>
        <v>0</v>
      </c>
      <c r="L509" s="36">
        <f t="shared" si="112"/>
        <v>465</v>
      </c>
      <c r="M509" s="7">
        <f t="shared" si="117"/>
        <v>0</v>
      </c>
      <c r="N509" s="36">
        <f t="shared" si="113"/>
        <v>465</v>
      </c>
      <c r="O509" s="7">
        <f t="shared" si="117"/>
        <v>0</v>
      </c>
      <c r="P509" s="36">
        <f t="shared" si="110"/>
        <v>465</v>
      </c>
      <c r="Q509" s="7">
        <f t="shared" si="117"/>
        <v>0</v>
      </c>
      <c r="R509" s="36">
        <f t="shared" si="111"/>
        <v>465</v>
      </c>
    </row>
    <row r="510" spans="1:18" ht="33">
      <c r="A510" s="62" t="str">
        <f ca="1">IF(ISERROR(MATCH(E510,Код_КВР,0)),"",INDIRECT(ADDRESS(MATCH(E510,Код_КВР,0)+1,2,,,"КВР")))</f>
        <v>Предоставление субсидий бюджетным, автономным учреждениям и иным некоммерческим организациям</v>
      </c>
      <c r="B510" s="46" t="s">
        <v>551</v>
      </c>
      <c r="C510" s="8" t="s">
        <v>203</v>
      </c>
      <c r="D510" s="1" t="s">
        <v>227</v>
      </c>
      <c r="E510" s="115">
        <v>600</v>
      </c>
      <c r="F510" s="7">
        <f t="shared" si="117"/>
        <v>465</v>
      </c>
      <c r="G510" s="7">
        <f t="shared" si="117"/>
        <v>0</v>
      </c>
      <c r="H510" s="36">
        <f t="shared" si="116"/>
        <v>465</v>
      </c>
      <c r="I510" s="7">
        <f t="shared" si="117"/>
        <v>0</v>
      </c>
      <c r="J510" s="36">
        <f t="shared" si="114"/>
        <v>465</v>
      </c>
      <c r="K510" s="7">
        <f t="shared" si="117"/>
        <v>0</v>
      </c>
      <c r="L510" s="36">
        <f t="shared" si="112"/>
        <v>465</v>
      </c>
      <c r="M510" s="7">
        <f t="shared" si="117"/>
        <v>0</v>
      </c>
      <c r="N510" s="36">
        <f t="shared" si="113"/>
        <v>465</v>
      </c>
      <c r="O510" s="7">
        <f t="shared" si="117"/>
        <v>0</v>
      </c>
      <c r="P510" s="36">
        <f t="shared" si="110"/>
        <v>465</v>
      </c>
      <c r="Q510" s="7">
        <f t="shared" si="117"/>
        <v>0</v>
      </c>
      <c r="R510" s="36">
        <f t="shared" si="111"/>
        <v>465</v>
      </c>
    </row>
    <row r="511" spans="1:18" ht="12.75">
      <c r="A511" s="62" t="str">
        <f ca="1">IF(ISERROR(MATCH(E511,Код_КВР,0)),"",INDIRECT(ADDRESS(MATCH(E511,Код_КВР,0)+1,2,,,"КВР")))</f>
        <v>Субсидии бюджетным учреждениям</v>
      </c>
      <c r="B511" s="46" t="s">
        <v>551</v>
      </c>
      <c r="C511" s="8" t="s">
        <v>203</v>
      </c>
      <c r="D511" s="1" t="s">
        <v>227</v>
      </c>
      <c r="E511" s="115">
        <v>610</v>
      </c>
      <c r="F511" s="7">
        <f t="shared" si="117"/>
        <v>465</v>
      </c>
      <c r="G511" s="7">
        <f t="shared" si="117"/>
        <v>0</v>
      </c>
      <c r="H511" s="36">
        <f t="shared" si="116"/>
        <v>465</v>
      </c>
      <c r="I511" s="7">
        <f t="shared" si="117"/>
        <v>0</v>
      </c>
      <c r="J511" s="36">
        <f t="shared" si="114"/>
        <v>465</v>
      </c>
      <c r="K511" s="7">
        <f t="shared" si="117"/>
        <v>0</v>
      </c>
      <c r="L511" s="36">
        <f t="shared" si="112"/>
        <v>465</v>
      </c>
      <c r="M511" s="7">
        <f t="shared" si="117"/>
        <v>0</v>
      </c>
      <c r="N511" s="36">
        <f t="shared" si="113"/>
        <v>465</v>
      </c>
      <c r="O511" s="7">
        <f t="shared" si="117"/>
        <v>0</v>
      </c>
      <c r="P511" s="36">
        <f t="shared" si="110"/>
        <v>465</v>
      </c>
      <c r="Q511" s="7">
        <f t="shared" si="117"/>
        <v>0</v>
      </c>
      <c r="R511" s="36">
        <f t="shared" si="111"/>
        <v>465</v>
      </c>
    </row>
    <row r="512" spans="1:18" ht="12.75">
      <c r="A512" s="62" t="str">
        <f ca="1">IF(ISERROR(MATCH(E512,Код_КВР,0)),"",INDIRECT(ADDRESS(MATCH(E512,Код_КВР,0)+1,2,,,"КВР")))</f>
        <v>Субсидии бюджетным учреждениям на иные цели</v>
      </c>
      <c r="B512" s="46" t="s">
        <v>551</v>
      </c>
      <c r="C512" s="8" t="s">
        <v>203</v>
      </c>
      <c r="D512" s="1" t="s">
        <v>227</v>
      </c>
      <c r="E512" s="115">
        <v>612</v>
      </c>
      <c r="F512" s="7">
        <f>'прил.5'!G748</f>
        <v>465</v>
      </c>
      <c r="G512" s="7">
        <f>'прил.5'!H748</f>
        <v>0</v>
      </c>
      <c r="H512" s="36">
        <f t="shared" si="116"/>
        <v>465</v>
      </c>
      <c r="I512" s="7">
        <f>'прил.5'!J748</f>
        <v>0</v>
      </c>
      <c r="J512" s="36">
        <f t="shared" si="114"/>
        <v>465</v>
      </c>
      <c r="K512" s="7">
        <f>'прил.5'!L748</f>
        <v>0</v>
      </c>
      <c r="L512" s="36">
        <f t="shared" si="112"/>
        <v>465</v>
      </c>
      <c r="M512" s="7">
        <f>'прил.5'!N748</f>
        <v>0</v>
      </c>
      <c r="N512" s="36">
        <f t="shared" si="113"/>
        <v>465</v>
      </c>
      <c r="O512" s="7">
        <f>'прил.5'!P748</f>
        <v>0</v>
      </c>
      <c r="P512" s="36">
        <f t="shared" si="110"/>
        <v>465</v>
      </c>
      <c r="Q512" s="7">
        <f>'прил.5'!R748</f>
        <v>0</v>
      </c>
      <c r="R512" s="36">
        <f t="shared" si="111"/>
        <v>465</v>
      </c>
    </row>
    <row r="513" spans="1:18" ht="12.75">
      <c r="A513" s="62" t="str">
        <f ca="1">IF(ISERROR(MATCH(C513,Код_Раздел,0)),"",INDIRECT(ADDRESS(MATCH(C513,Код_Раздел,0)+1,2,,,"Раздел")))</f>
        <v>Культура, кинематография</v>
      </c>
      <c r="B513" s="46" t="s">
        <v>551</v>
      </c>
      <c r="C513" s="8" t="s">
        <v>230</v>
      </c>
      <c r="D513" s="1"/>
      <c r="E513" s="115"/>
      <c r="F513" s="7">
        <f aca="true" t="shared" si="118" ref="F513:Q516">F514</f>
        <v>10</v>
      </c>
      <c r="G513" s="7">
        <f t="shared" si="118"/>
        <v>0</v>
      </c>
      <c r="H513" s="36">
        <f t="shared" si="116"/>
        <v>10</v>
      </c>
      <c r="I513" s="7">
        <f t="shared" si="118"/>
        <v>0</v>
      </c>
      <c r="J513" s="36">
        <f t="shared" si="114"/>
        <v>10</v>
      </c>
      <c r="K513" s="7">
        <f t="shared" si="118"/>
        <v>0</v>
      </c>
      <c r="L513" s="36">
        <f t="shared" si="112"/>
        <v>10</v>
      </c>
      <c r="M513" s="7">
        <f t="shared" si="118"/>
        <v>0</v>
      </c>
      <c r="N513" s="36">
        <f t="shared" si="113"/>
        <v>10</v>
      </c>
      <c r="O513" s="7">
        <f t="shared" si="118"/>
        <v>0</v>
      </c>
      <c r="P513" s="36">
        <f t="shared" si="110"/>
        <v>10</v>
      </c>
      <c r="Q513" s="7">
        <f t="shared" si="118"/>
        <v>0</v>
      </c>
      <c r="R513" s="36">
        <f t="shared" si="111"/>
        <v>10</v>
      </c>
    </row>
    <row r="514" spans="1:18" ht="12.75">
      <c r="A514" s="12" t="s">
        <v>171</v>
      </c>
      <c r="B514" s="46" t="s">
        <v>551</v>
      </c>
      <c r="C514" s="8" t="s">
        <v>230</v>
      </c>
      <c r="D514" s="1" t="s">
        <v>224</v>
      </c>
      <c r="E514" s="115"/>
      <c r="F514" s="7">
        <f t="shared" si="118"/>
        <v>10</v>
      </c>
      <c r="G514" s="7">
        <f t="shared" si="118"/>
        <v>0</v>
      </c>
      <c r="H514" s="36">
        <f t="shared" si="116"/>
        <v>10</v>
      </c>
      <c r="I514" s="7">
        <f t="shared" si="118"/>
        <v>0</v>
      </c>
      <c r="J514" s="36">
        <f t="shared" si="114"/>
        <v>10</v>
      </c>
      <c r="K514" s="7">
        <f t="shared" si="118"/>
        <v>0</v>
      </c>
      <c r="L514" s="36">
        <f t="shared" si="112"/>
        <v>10</v>
      </c>
      <c r="M514" s="7">
        <f t="shared" si="118"/>
        <v>0</v>
      </c>
      <c r="N514" s="36">
        <f t="shared" si="113"/>
        <v>10</v>
      </c>
      <c r="O514" s="7">
        <f t="shared" si="118"/>
        <v>0</v>
      </c>
      <c r="P514" s="36">
        <f t="shared" si="110"/>
        <v>10</v>
      </c>
      <c r="Q514" s="7">
        <f t="shared" si="118"/>
        <v>0</v>
      </c>
      <c r="R514" s="36">
        <f t="shared" si="111"/>
        <v>10</v>
      </c>
    </row>
    <row r="515" spans="1:18" ht="33">
      <c r="A515" s="62" t="str">
        <f ca="1">IF(ISERROR(MATCH(E515,Код_КВР,0)),"",INDIRECT(ADDRESS(MATCH(E515,Код_КВР,0)+1,2,,,"КВР")))</f>
        <v>Предоставление субсидий бюджетным, автономным учреждениям и иным некоммерческим организациям</v>
      </c>
      <c r="B515" s="46" t="s">
        <v>551</v>
      </c>
      <c r="C515" s="8" t="s">
        <v>230</v>
      </c>
      <c r="D515" s="1" t="s">
        <v>224</v>
      </c>
      <c r="E515" s="115">
        <v>600</v>
      </c>
      <c r="F515" s="7">
        <f t="shared" si="118"/>
        <v>10</v>
      </c>
      <c r="G515" s="7">
        <f t="shared" si="118"/>
        <v>0</v>
      </c>
      <c r="H515" s="36">
        <f t="shared" si="116"/>
        <v>10</v>
      </c>
      <c r="I515" s="7">
        <f t="shared" si="118"/>
        <v>0</v>
      </c>
      <c r="J515" s="36">
        <f t="shared" si="114"/>
        <v>10</v>
      </c>
      <c r="K515" s="7">
        <f t="shared" si="118"/>
        <v>0</v>
      </c>
      <c r="L515" s="36">
        <f t="shared" si="112"/>
        <v>10</v>
      </c>
      <c r="M515" s="7">
        <f t="shared" si="118"/>
        <v>0</v>
      </c>
      <c r="N515" s="36">
        <f t="shared" si="113"/>
        <v>10</v>
      </c>
      <c r="O515" s="7">
        <f t="shared" si="118"/>
        <v>0</v>
      </c>
      <c r="P515" s="36">
        <f t="shared" si="110"/>
        <v>10</v>
      </c>
      <c r="Q515" s="7">
        <f t="shared" si="118"/>
        <v>0</v>
      </c>
      <c r="R515" s="36">
        <f t="shared" si="111"/>
        <v>10</v>
      </c>
    </row>
    <row r="516" spans="1:18" ht="12.75">
      <c r="A516" s="62" t="str">
        <f ca="1">IF(ISERROR(MATCH(E516,Код_КВР,0)),"",INDIRECT(ADDRESS(MATCH(E516,Код_КВР,0)+1,2,,,"КВР")))</f>
        <v>Субсидии бюджетным учреждениям</v>
      </c>
      <c r="B516" s="46" t="s">
        <v>551</v>
      </c>
      <c r="C516" s="8" t="s">
        <v>230</v>
      </c>
      <c r="D516" s="1" t="s">
        <v>224</v>
      </c>
      <c r="E516" s="115">
        <v>610</v>
      </c>
      <c r="F516" s="7">
        <f t="shared" si="118"/>
        <v>10</v>
      </c>
      <c r="G516" s="7">
        <f t="shared" si="118"/>
        <v>0</v>
      </c>
      <c r="H516" s="36">
        <f t="shared" si="116"/>
        <v>10</v>
      </c>
      <c r="I516" s="7">
        <f t="shared" si="118"/>
        <v>0</v>
      </c>
      <c r="J516" s="36">
        <f t="shared" si="114"/>
        <v>10</v>
      </c>
      <c r="K516" s="7">
        <f t="shared" si="118"/>
        <v>0</v>
      </c>
      <c r="L516" s="36">
        <f t="shared" si="112"/>
        <v>10</v>
      </c>
      <c r="M516" s="7">
        <f t="shared" si="118"/>
        <v>0</v>
      </c>
      <c r="N516" s="36">
        <f t="shared" si="113"/>
        <v>10</v>
      </c>
      <c r="O516" s="7">
        <f t="shared" si="118"/>
        <v>0</v>
      </c>
      <c r="P516" s="36">
        <f t="shared" si="110"/>
        <v>10</v>
      </c>
      <c r="Q516" s="7">
        <f t="shared" si="118"/>
        <v>0</v>
      </c>
      <c r="R516" s="36">
        <f t="shared" si="111"/>
        <v>10</v>
      </c>
    </row>
    <row r="517" spans="1:18" ht="12.75">
      <c r="A517" s="62" t="str">
        <f ca="1">IF(ISERROR(MATCH(E517,Код_КВР,0)),"",INDIRECT(ADDRESS(MATCH(E517,Код_КВР,0)+1,2,,,"КВР")))</f>
        <v>Субсидии бюджетным учреждениям на иные цели</v>
      </c>
      <c r="B517" s="46" t="s">
        <v>551</v>
      </c>
      <c r="C517" s="8" t="s">
        <v>230</v>
      </c>
      <c r="D517" s="1" t="s">
        <v>224</v>
      </c>
      <c r="E517" s="115">
        <v>612</v>
      </c>
      <c r="F517" s="7">
        <f>'прил.5'!G1085</f>
        <v>10</v>
      </c>
      <c r="G517" s="7">
        <f>'прил.5'!H1085</f>
        <v>0</v>
      </c>
      <c r="H517" s="36">
        <f t="shared" si="116"/>
        <v>10</v>
      </c>
      <c r="I517" s="7">
        <f>'прил.5'!J1085</f>
        <v>0</v>
      </c>
      <c r="J517" s="36">
        <f t="shared" si="114"/>
        <v>10</v>
      </c>
      <c r="K517" s="7">
        <f>'прил.5'!L1085</f>
        <v>0</v>
      </c>
      <c r="L517" s="36">
        <f t="shared" si="112"/>
        <v>10</v>
      </c>
      <c r="M517" s="7">
        <f>'прил.5'!N1085</f>
        <v>0</v>
      </c>
      <c r="N517" s="36">
        <f t="shared" si="113"/>
        <v>10</v>
      </c>
      <c r="O517" s="7">
        <f>'прил.5'!P1085</f>
        <v>0</v>
      </c>
      <c r="P517" s="36">
        <f t="shared" si="110"/>
        <v>10</v>
      </c>
      <c r="Q517" s="7">
        <f>'прил.5'!R1085</f>
        <v>0</v>
      </c>
      <c r="R517" s="36">
        <f t="shared" si="111"/>
        <v>10</v>
      </c>
    </row>
    <row r="518" spans="1:18" ht="33">
      <c r="A518" s="62" t="str">
        <f ca="1">IF(ISERROR(MATCH(B518,Код_КЦСР,0)),"",INDIRECT(ADDRESS(MATCH(B518,Код_КЦСР,0)+1,2,,,"КЦСР")))</f>
        <v>Оборудование основных помещений МБДОУ бактерицидными лампами</v>
      </c>
      <c r="B518" s="46" t="s">
        <v>553</v>
      </c>
      <c r="C518" s="8"/>
      <c r="D518" s="1"/>
      <c r="E518" s="115"/>
      <c r="F518" s="7">
        <f aca="true" t="shared" si="119" ref="F518:Q522">F519</f>
        <v>30</v>
      </c>
      <c r="G518" s="7">
        <f t="shared" si="119"/>
        <v>0</v>
      </c>
      <c r="H518" s="36">
        <f t="shared" si="116"/>
        <v>30</v>
      </c>
      <c r="I518" s="7">
        <f t="shared" si="119"/>
        <v>0</v>
      </c>
      <c r="J518" s="36">
        <f t="shared" si="114"/>
        <v>30</v>
      </c>
      <c r="K518" s="7">
        <f t="shared" si="119"/>
        <v>0</v>
      </c>
      <c r="L518" s="36">
        <f t="shared" si="112"/>
        <v>30</v>
      </c>
      <c r="M518" s="7">
        <f t="shared" si="119"/>
        <v>0</v>
      </c>
      <c r="N518" s="36">
        <f t="shared" si="113"/>
        <v>30</v>
      </c>
      <c r="O518" s="7">
        <f t="shared" si="119"/>
        <v>0</v>
      </c>
      <c r="P518" s="36">
        <f t="shared" si="110"/>
        <v>30</v>
      </c>
      <c r="Q518" s="7">
        <f t="shared" si="119"/>
        <v>0</v>
      </c>
      <c r="R518" s="36">
        <f t="shared" si="111"/>
        <v>30</v>
      </c>
    </row>
    <row r="519" spans="1:18" ht="12.75">
      <c r="A519" s="62" t="str">
        <f ca="1">IF(ISERROR(MATCH(C519,Код_Раздел,0)),"",INDIRECT(ADDRESS(MATCH(C519,Код_Раздел,0)+1,2,,,"Раздел")))</f>
        <v>Образование</v>
      </c>
      <c r="B519" s="46" t="s">
        <v>553</v>
      </c>
      <c r="C519" s="8" t="s">
        <v>203</v>
      </c>
      <c r="D519" s="1"/>
      <c r="E519" s="115"/>
      <c r="F519" s="7">
        <f t="shared" si="119"/>
        <v>30</v>
      </c>
      <c r="G519" s="7">
        <f t="shared" si="119"/>
        <v>0</v>
      </c>
      <c r="H519" s="36">
        <f t="shared" si="116"/>
        <v>30</v>
      </c>
      <c r="I519" s="7">
        <f t="shared" si="119"/>
        <v>0</v>
      </c>
      <c r="J519" s="36">
        <f t="shared" si="114"/>
        <v>30</v>
      </c>
      <c r="K519" s="7">
        <f t="shared" si="119"/>
        <v>0</v>
      </c>
      <c r="L519" s="36">
        <f t="shared" si="112"/>
        <v>30</v>
      </c>
      <c r="M519" s="7">
        <f t="shared" si="119"/>
        <v>0</v>
      </c>
      <c r="N519" s="36">
        <f t="shared" si="113"/>
        <v>30</v>
      </c>
      <c r="O519" s="7">
        <f t="shared" si="119"/>
        <v>0</v>
      </c>
      <c r="P519" s="36">
        <f t="shared" si="110"/>
        <v>30</v>
      </c>
      <c r="Q519" s="7">
        <f t="shared" si="119"/>
        <v>0</v>
      </c>
      <c r="R519" s="36">
        <f t="shared" si="111"/>
        <v>30</v>
      </c>
    </row>
    <row r="520" spans="1:18" ht="21" customHeight="1">
      <c r="A520" s="12" t="s">
        <v>259</v>
      </c>
      <c r="B520" s="46" t="s">
        <v>553</v>
      </c>
      <c r="C520" s="8" t="s">
        <v>203</v>
      </c>
      <c r="D520" s="1" t="s">
        <v>227</v>
      </c>
      <c r="E520" s="115"/>
      <c r="F520" s="7">
        <f t="shared" si="119"/>
        <v>30</v>
      </c>
      <c r="G520" s="7">
        <f t="shared" si="119"/>
        <v>0</v>
      </c>
      <c r="H520" s="36">
        <f t="shared" si="116"/>
        <v>30</v>
      </c>
      <c r="I520" s="7">
        <f t="shared" si="119"/>
        <v>0</v>
      </c>
      <c r="J520" s="36">
        <f t="shared" si="114"/>
        <v>30</v>
      </c>
      <c r="K520" s="7">
        <f t="shared" si="119"/>
        <v>0</v>
      </c>
      <c r="L520" s="36">
        <f t="shared" si="112"/>
        <v>30</v>
      </c>
      <c r="M520" s="7">
        <f t="shared" si="119"/>
        <v>0</v>
      </c>
      <c r="N520" s="36">
        <f t="shared" si="113"/>
        <v>30</v>
      </c>
      <c r="O520" s="7">
        <f t="shared" si="119"/>
        <v>0</v>
      </c>
      <c r="P520" s="36">
        <f t="shared" si="110"/>
        <v>30</v>
      </c>
      <c r="Q520" s="7">
        <f t="shared" si="119"/>
        <v>0</v>
      </c>
      <c r="R520" s="36">
        <f t="shared" si="111"/>
        <v>30</v>
      </c>
    </row>
    <row r="521" spans="1:18" ht="35.25" customHeight="1">
      <c r="A521" s="62" t="str">
        <f ca="1">IF(ISERROR(MATCH(E521,Код_КВР,0)),"",INDIRECT(ADDRESS(MATCH(E521,Код_КВР,0)+1,2,,,"КВР")))</f>
        <v>Предоставление субсидий бюджетным, автономным учреждениям и иным некоммерческим организациям</v>
      </c>
      <c r="B521" s="46" t="s">
        <v>553</v>
      </c>
      <c r="C521" s="8" t="s">
        <v>203</v>
      </c>
      <c r="D521" s="1" t="s">
        <v>227</v>
      </c>
      <c r="E521" s="115">
        <v>600</v>
      </c>
      <c r="F521" s="7">
        <f t="shared" si="119"/>
        <v>30</v>
      </c>
      <c r="G521" s="7">
        <f t="shared" si="119"/>
        <v>0</v>
      </c>
      <c r="H521" s="36">
        <f t="shared" si="116"/>
        <v>30</v>
      </c>
      <c r="I521" s="7">
        <f t="shared" si="119"/>
        <v>0</v>
      </c>
      <c r="J521" s="36">
        <f t="shared" si="114"/>
        <v>30</v>
      </c>
      <c r="K521" s="7">
        <f t="shared" si="119"/>
        <v>0</v>
      </c>
      <c r="L521" s="36">
        <f t="shared" si="112"/>
        <v>30</v>
      </c>
      <c r="M521" s="7">
        <f t="shared" si="119"/>
        <v>0</v>
      </c>
      <c r="N521" s="36">
        <f t="shared" si="113"/>
        <v>30</v>
      </c>
      <c r="O521" s="7">
        <f t="shared" si="119"/>
        <v>0</v>
      </c>
      <c r="P521" s="36">
        <f t="shared" si="110"/>
        <v>30</v>
      </c>
      <c r="Q521" s="7">
        <f t="shared" si="119"/>
        <v>0</v>
      </c>
      <c r="R521" s="36">
        <f t="shared" si="111"/>
        <v>30</v>
      </c>
    </row>
    <row r="522" spans="1:18" ht="18.75" customHeight="1">
      <c r="A522" s="62" t="str">
        <f ca="1">IF(ISERROR(MATCH(E522,Код_КВР,0)),"",INDIRECT(ADDRESS(MATCH(E522,Код_КВР,0)+1,2,,,"КВР")))</f>
        <v>Субсидии бюджетным учреждениям</v>
      </c>
      <c r="B522" s="46" t="s">
        <v>553</v>
      </c>
      <c r="C522" s="8" t="s">
        <v>203</v>
      </c>
      <c r="D522" s="1" t="s">
        <v>227</v>
      </c>
      <c r="E522" s="115">
        <v>610</v>
      </c>
      <c r="F522" s="7">
        <f t="shared" si="119"/>
        <v>30</v>
      </c>
      <c r="G522" s="7">
        <f t="shared" si="119"/>
        <v>0</v>
      </c>
      <c r="H522" s="36">
        <f t="shared" si="116"/>
        <v>30</v>
      </c>
      <c r="I522" s="7">
        <f t="shared" si="119"/>
        <v>0</v>
      </c>
      <c r="J522" s="36">
        <f t="shared" si="114"/>
        <v>30</v>
      </c>
      <c r="K522" s="7">
        <f t="shared" si="119"/>
        <v>0</v>
      </c>
      <c r="L522" s="36">
        <f t="shared" si="112"/>
        <v>30</v>
      </c>
      <c r="M522" s="7">
        <f t="shared" si="119"/>
        <v>0</v>
      </c>
      <c r="N522" s="36">
        <f t="shared" si="113"/>
        <v>30</v>
      </c>
      <c r="O522" s="7">
        <f t="shared" si="119"/>
        <v>0</v>
      </c>
      <c r="P522" s="36">
        <f t="shared" si="110"/>
        <v>30</v>
      </c>
      <c r="Q522" s="7">
        <f t="shared" si="119"/>
        <v>0</v>
      </c>
      <c r="R522" s="36">
        <f t="shared" si="111"/>
        <v>30</v>
      </c>
    </row>
    <row r="523" spans="1:18" ht="18.75" customHeight="1">
      <c r="A523" s="62" t="str">
        <f ca="1">IF(ISERROR(MATCH(E523,Код_КВР,0)),"",INDIRECT(ADDRESS(MATCH(E523,Код_КВР,0)+1,2,,,"КВР")))</f>
        <v>Субсидии бюджетным учреждениям на иные цели</v>
      </c>
      <c r="B523" s="46" t="s">
        <v>553</v>
      </c>
      <c r="C523" s="8" t="s">
        <v>203</v>
      </c>
      <c r="D523" s="1" t="s">
        <v>227</v>
      </c>
      <c r="E523" s="115">
        <v>612</v>
      </c>
      <c r="F523" s="7">
        <f>'прил.5'!G752</f>
        <v>30</v>
      </c>
      <c r="G523" s="7">
        <f>'прил.5'!H752</f>
        <v>0</v>
      </c>
      <c r="H523" s="36">
        <f t="shared" si="116"/>
        <v>30</v>
      </c>
      <c r="I523" s="7">
        <f>'прил.5'!J752</f>
        <v>0</v>
      </c>
      <c r="J523" s="36">
        <f t="shared" si="114"/>
        <v>30</v>
      </c>
      <c r="K523" s="7">
        <f>'прил.5'!L752</f>
        <v>0</v>
      </c>
      <c r="L523" s="36">
        <f t="shared" si="112"/>
        <v>30</v>
      </c>
      <c r="M523" s="7">
        <f>'прил.5'!N752</f>
        <v>0</v>
      </c>
      <c r="N523" s="36">
        <f t="shared" si="113"/>
        <v>30</v>
      </c>
      <c r="O523" s="7">
        <f>'прил.5'!P752</f>
        <v>0</v>
      </c>
      <c r="P523" s="36">
        <f t="shared" si="110"/>
        <v>30</v>
      </c>
      <c r="Q523" s="7">
        <f>'прил.5'!R752</f>
        <v>0</v>
      </c>
      <c r="R523" s="36">
        <f t="shared" si="111"/>
        <v>30</v>
      </c>
    </row>
    <row r="524" spans="1:18" ht="136.5" customHeight="1">
      <c r="A524" s="62" t="str">
        <f ca="1">IF(ISERROR(MATCH(B524,Код_КЦСР,0)),"",INDIRECT(ADDRESS(MATCH(B524,Код_КЦСР,0)+1,2,,,"КЦСР")))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524" s="46" t="s">
        <v>554</v>
      </c>
      <c r="C524" s="8"/>
      <c r="D524" s="1"/>
      <c r="E524" s="115"/>
      <c r="F524" s="7">
        <f aca="true" t="shared" si="120" ref="F524:Q527">F525</f>
        <v>200</v>
      </c>
      <c r="G524" s="7">
        <f t="shared" si="120"/>
        <v>0</v>
      </c>
      <c r="H524" s="36">
        <f t="shared" si="116"/>
        <v>200</v>
      </c>
      <c r="I524" s="7">
        <f t="shared" si="120"/>
        <v>0</v>
      </c>
      <c r="J524" s="36">
        <f t="shared" si="114"/>
        <v>200</v>
      </c>
      <c r="K524" s="7">
        <f t="shared" si="120"/>
        <v>0</v>
      </c>
      <c r="L524" s="36">
        <f t="shared" si="112"/>
        <v>200</v>
      </c>
      <c r="M524" s="7">
        <f t="shared" si="120"/>
        <v>-164.3</v>
      </c>
      <c r="N524" s="36">
        <f t="shared" si="113"/>
        <v>35.69999999999999</v>
      </c>
      <c r="O524" s="7">
        <f t="shared" si="120"/>
        <v>0</v>
      </c>
      <c r="P524" s="36">
        <f t="shared" si="110"/>
        <v>35.69999999999999</v>
      </c>
      <c r="Q524" s="7">
        <f t="shared" si="120"/>
        <v>0</v>
      </c>
      <c r="R524" s="36">
        <f t="shared" si="111"/>
        <v>35.69999999999999</v>
      </c>
    </row>
    <row r="525" spans="1:18" ht="12.75">
      <c r="A525" s="62" t="str">
        <f ca="1">IF(ISERROR(MATCH(C525,Код_Раздел,0)),"",INDIRECT(ADDRESS(MATCH(C525,Код_Раздел,0)+1,2,,,"Раздел")))</f>
        <v>Охрана окружающей среды</v>
      </c>
      <c r="B525" s="46" t="s">
        <v>554</v>
      </c>
      <c r="C525" s="8" t="s">
        <v>225</v>
      </c>
      <c r="D525" s="1"/>
      <c r="E525" s="115"/>
      <c r="F525" s="7">
        <f t="shared" si="120"/>
        <v>200</v>
      </c>
      <c r="G525" s="7">
        <f t="shared" si="120"/>
        <v>0</v>
      </c>
      <c r="H525" s="36">
        <f t="shared" si="116"/>
        <v>200</v>
      </c>
      <c r="I525" s="7">
        <f t="shared" si="120"/>
        <v>0</v>
      </c>
      <c r="J525" s="36">
        <f t="shared" si="114"/>
        <v>200</v>
      </c>
      <c r="K525" s="7">
        <f t="shared" si="120"/>
        <v>0</v>
      </c>
      <c r="L525" s="36">
        <f t="shared" si="112"/>
        <v>200</v>
      </c>
      <c r="M525" s="7">
        <f t="shared" si="120"/>
        <v>-164.3</v>
      </c>
      <c r="N525" s="36">
        <f t="shared" si="113"/>
        <v>35.69999999999999</v>
      </c>
      <c r="O525" s="7">
        <f t="shared" si="120"/>
        <v>0</v>
      </c>
      <c r="P525" s="36">
        <f t="shared" si="110"/>
        <v>35.69999999999999</v>
      </c>
      <c r="Q525" s="7">
        <f t="shared" si="120"/>
        <v>0</v>
      </c>
      <c r="R525" s="36">
        <f t="shared" si="111"/>
        <v>35.69999999999999</v>
      </c>
    </row>
    <row r="526" spans="1:18" ht="12.75">
      <c r="A526" s="12" t="s">
        <v>263</v>
      </c>
      <c r="B526" s="46" t="s">
        <v>554</v>
      </c>
      <c r="C526" s="8" t="s">
        <v>225</v>
      </c>
      <c r="D526" s="1" t="s">
        <v>229</v>
      </c>
      <c r="E526" s="115"/>
      <c r="F526" s="7">
        <f t="shared" si="120"/>
        <v>200</v>
      </c>
      <c r="G526" s="7">
        <f t="shared" si="120"/>
        <v>0</v>
      </c>
      <c r="H526" s="36">
        <f t="shared" si="116"/>
        <v>200</v>
      </c>
      <c r="I526" s="7">
        <f t="shared" si="120"/>
        <v>0</v>
      </c>
      <c r="J526" s="36">
        <f t="shared" si="114"/>
        <v>200</v>
      </c>
      <c r="K526" s="7">
        <f t="shared" si="120"/>
        <v>0</v>
      </c>
      <c r="L526" s="36">
        <f t="shared" si="112"/>
        <v>200</v>
      </c>
      <c r="M526" s="7">
        <f t="shared" si="120"/>
        <v>-164.3</v>
      </c>
      <c r="N526" s="36">
        <f t="shared" si="113"/>
        <v>35.69999999999999</v>
      </c>
      <c r="O526" s="7">
        <f t="shared" si="120"/>
        <v>0</v>
      </c>
      <c r="P526" s="36">
        <f t="shared" si="110"/>
        <v>35.69999999999999</v>
      </c>
      <c r="Q526" s="7">
        <f t="shared" si="120"/>
        <v>0</v>
      </c>
      <c r="R526" s="36">
        <f t="shared" si="111"/>
        <v>35.69999999999999</v>
      </c>
    </row>
    <row r="527" spans="1:18" ht="12.75">
      <c r="A527" s="62" t="str">
        <f ca="1">IF(ISERROR(MATCH(E527,Код_КВР,0)),"",INDIRECT(ADDRESS(MATCH(E527,Код_КВР,0)+1,2,,,"КВР")))</f>
        <v>Иные бюджетные ассигнования</v>
      </c>
      <c r="B527" s="46" t="s">
        <v>554</v>
      </c>
      <c r="C527" s="8" t="s">
        <v>225</v>
      </c>
      <c r="D527" s="1" t="s">
        <v>229</v>
      </c>
      <c r="E527" s="115">
        <v>800</v>
      </c>
      <c r="F527" s="7">
        <f t="shared" si="120"/>
        <v>200</v>
      </c>
      <c r="G527" s="7">
        <f t="shared" si="120"/>
        <v>0</v>
      </c>
      <c r="H527" s="36">
        <f t="shared" si="116"/>
        <v>200</v>
      </c>
      <c r="I527" s="7">
        <f t="shared" si="120"/>
        <v>0</v>
      </c>
      <c r="J527" s="36">
        <f t="shared" si="114"/>
        <v>200</v>
      </c>
      <c r="K527" s="7">
        <f t="shared" si="120"/>
        <v>0</v>
      </c>
      <c r="L527" s="36">
        <f t="shared" si="112"/>
        <v>200</v>
      </c>
      <c r="M527" s="7">
        <f t="shared" si="120"/>
        <v>-164.3</v>
      </c>
      <c r="N527" s="36">
        <f t="shared" si="113"/>
        <v>35.69999999999999</v>
      </c>
      <c r="O527" s="7">
        <f t="shared" si="120"/>
        <v>0</v>
      </c>
      <c r="P527" s="36">
        <f t="shared" si="110"/>
        <v>35.69999999999999</v>
      </c>
      <c r="Q527" s="7">
        <f t="shared" si="120"/>
        <v>0</v>
      </c>
      <c r="R527" s="36">
        <f t="shared" si="111"/>
        <v>35.69999999999999</v>
      </c>
    </row>
    <row r="528" spans="1:18" ht="52.7" customHeight="1">
      <c r="A528" s="62" t="str">
        <f ca="1">IF(ISERROR(MATCH(E528,Код_КВР,0)),"",INDIRECT(ADDRESS(MATCH(E528,Код_КВР,0)+1,2,,,"КВР")))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28" s="46" t="s">
        <v>554</v>
      </c>
      <c r="C528" s="8" t="s">
        <v>225</v>
      </c>
      <c r="D528" s="1" t="s">
        <v>229</v>
      </c>
      <c r="E528" s="115">
        <v>810</v>
      </c>
      <c r="F528" s="7">
        <f>'прил.5'!G524</f>
        <v>200</v>
      </c>
      <c r="G528" s="7">
        <f>'прил.5'!H524</f>
        <v>0</v>
      </c>
      <c r="H528" s="36">
        <f t="shared" si="116"/>
        <v>200</v>
      </c>
      <c r="I528" s="7">
        <f>'прил.5'!J524</f>
        <v>0</v>
      </c>
      <c r="J528" s="36">
        <f t="shared" si="114"/>
        <v>200</v>
      </c>
      <c r="K528" s="7">
        <f>'прил.5'!L524</f>
        <v>0</v>
      </c>
      <c r="L528" s="36">
        <f t="shared" si="112"/>
        <v>200</v>
      </c>
      <c r="M528" s="7">
        <f>'прил.5'!N524</f>
        <v>-164.3</v>
      </c>
      <c r="N528" s="36">
        <f t="shared" si="113"/>
        <v>35.69999999999999</v>
      </c>
      <c r="O528" s="7">
        <f>'прил.5'!P524</f>
        <v>0</v>
      </c>
      <c r="P528" s="36">
        <f t="shared" si="110"/>
        <v>35.69999999999999</v>
      </c>
      <c r="Q528" s="7">
        <f>'прил.5'!R524</f>
        <v>0</v>
      </c>
      <c r="R528" s="36">
        <f t="shared" si="111"/>
        <v>35.69999999999999</v>
      </c>
    </row>
    <row r="529" spans="1:18" ht="37.5" customHeight="1">
      <c r="A529" s="62" t="str">
        <f ca="1">IF(ISERROR(MATCH(B529,Код_КЦСР,0)),"",INDIRECT(ADDRESS(MATCH(B529,Код_КЦСР,0)+1,2,,,"КЦСР")))</f>
        <v>Муниципальная программа «Содействие развитию потребительского рынка в городе Череповце на 2013-2017 годы»</v>
      </c>
      <c r="B529" s="46" t="s">
        <v>555</v>
      </c>
      <c r="C529" s="8"/>
      <c r="D529" s="1"/>
      <c r="E529" s="115"/>
      <c r="F529" s="7">
        <f aca="true" t="shared" si="121" ref="F529:Q534">F530</f>
        <v>150</v>
      </c>
      <c r="G529" s="7">
        <f t="shared" si="121"/>
        <v>0</v>
      </c>
      <c r="H529" s="36">
        <f t="shared" si="116"/>
        <v>150</v>
      </c>
      <c r="I529" s="7">
        <f t="shared" si="121"/>
        <v>0</v>
      </c>
      <c r="J529" s="36">
        <f t="shared" si="114"/>
        <v>150</v>
      </c>
      <c r="K529" s="7">
        <f t="shared" si="121"/>
        <v>0</v>
      </c>
      <c r="L529" s="36">
        <f t="shared" si="112"/>
        <v>150</v>
      </c>
      <c r="M529" s="7">
        <f t="shared" si="121"/>
        <v>0</v>
      </c>
      <c r="N529" s="36">
        <f t="shared" si="113"/>
        <v>150</v>
      </c>
      <c r="O529" s="7">
        <f t="shared" si="121"/>
        <v>0</v>
      </c>
      <c r="P529" s="36">
        <f t="shared" si="110"/>
        <v>150</v>
      </c>
      <c r="Q529" s="7">
        <f t="shared" si="121"/>
        <v>0</v>
      </c>
      <c r="R529" s="36">
        <f t="shared" si="111"/>
        <v>150</v>
      </c>
    </row>
    <row r="530" spans="1:18" ht="52.7" customHeight="1">
      <c r="A530" s="62" t="str">
        <f ca="1">IF(ISERROR(MATCH(B530,Код_КЦСР,0)),"",INDIRECT(ADDRESS(MATCH(B530,Код_КЦСР,0)+1,2,,,"КЦСР")))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530" s="46" t="s">
        <v>557</v>
      </c>
      <c r="C530" s="8"/>
      <c r="D530" s="1"/>
      <c r="E530" s="115"/>
      <c r="F530" s="7">
        <f t="shared" si="121"/>
        <v>150</v>
      </c>
      <c r="G530" s="7">
        <f t="shared" si="121"/>
        <v>0</v>
      </c>
      <c r="H530" s="36">
        <f t="shared" si="116"/>
        <v>150</v>
      </c>
      <c r="I530" s="7">
        <f t="shared" si="121"/>
        <v>0</v>
      </c>
      <c r="J530" s="36">
        <f t="shared" si="114"/>
        <v>150</v>
      </c>
      <c r="K530" s="7">
        <f t="shared" si="121"/>
        <v>0</v>
      </c>
      <c r="L530" s="36">
        <f t="shared" si="112"/>
        <v>150</v>
      </c>
      <c r="M530" s="7">
        <f t="shared" si="121"/>
        <v>0</v>
      </c>
      <c r="N530" s="36">
        <f t="shared" si="113"/>
        <v>150</v>
      </c>
      <c r="O530" s="7">
        <f t="shared" si="121"/>
        <v>0</v>
      </c>
      <c r="P530" s="36">
        <f t="shared" si="110"/>
        <v>150</v>
      </c>
      <c r="Q530" s="7">
        <f t="shared" si="121"/>
        <v>0</v>
      </c>
      <c r="R530" s="36">
        <f t="shared" si="111"/>
        <v>150</v>
      </c>
    </row>
    <row r="531" spans="1:18" ht="12.75">
      <c r="A531" s="62" t="str">
        <f ca="1">IF(ISERROR(MATCH(C531,Код_Раздел,0)),"",INDIRECT(ADDRESS(MATCH(C531,Код_Раздел,0)+1,2,,,"Раздел")))</f>
        <v>Общегосударственные  вопросы</v>
      </c>
      <c r="B531" s="115" t="s">
        <v>557</v>
      </c>
      <c r="C531" s="8" t="s">
        <v>221</v>
      </c>
      <c r="D531" s="1"/>
      <c r="E531" s="115"/>
      <c r="F531" s="7">
        <f t="shared" si="121"/>
        <v>150</v>
      </c>
      <c r="G531" s="7">
        <f t="shared" si="121"/>
        <v>0</v>
      </c>
      <c r="H531" s="36">
        <f t="shared" si="116"/>
        <v>150</v>
      </c>
      <c r="I531" s="7">
        <f t="shared" si="121"/>
        <v>0</v>
      </c>
      <c r="J531" s="36">
        <f t="shared" si="114"/>
        <v>150</v>
      </c>
      <c r="K531" s="7">
        <f t="shared" si="121"/>
        <v>0</v>
      </c>
      <c r="L531" s="36">
        <f t="shared" si="112"/>
        <v>150</v>
      </c>
      <c r="M531" s="7">
        <f t="shared" si="121"/>
        <v>0</v>
      </c>
      <c r="N531" s="36">
        <f t="shared" si="113"/>
        <v>150</v>
      </c>
      <c r="O531" s="7">
        <f t="shared" si="121"/>
        <v>0</v>
      </c>
      <c r="P531" s="36">
        <f t="shared" si="110"/>
        <v>150</v>
      </c>
      <c r="Q531" s="7">
        <f t="shared" si="121"/>
        <v>0</v>
      </c>
      <c r="R531" s="36">
        <f t="shared" si="111"/>
        <v>150</v>
      </c>
    </row>
    <row r="532" spans="1:18" ht="12.75">
      <c r="A532" s="12" t="s">
        <v>245</v>
      </c>
      <c r="B532" s="115" t="s">
        <v>557</v>
      </c>
      <c r="C532" s="8" t="s">
        <v>221</v>
      </c>
      <c r="D532" s="1" t="s">
        <v>198</v>
      </c>
      <c r="E532" s="115"/>
      <c r="F532" s="7">
        <f t="shared" si="121"/>
        <v>150</v>
      </c>
      <c r="G532" s="7">
        <f t="shared" si="121"/>
        <v>0</v>
      </c>
      <c r="H532" s="36">
        <f t="shared" si="116"/>
        <v>150</v>
      </c>
      <c r="I532" s="7">
        <f t="shared" si="121"/>
        <v>0</v>
      </c>
      <c r="J532" s="36">
        <f t="shared" si="114"/>
        <v>150</v>
      </c>
      <c r="K532" s="7">
        <f t="shared" si="121"/>
        <v>0</v>
      </c>
      <c r="L532" s="36">
        <f t="shared" si="112"/>
        <v>150</v>
      </c>
      <c r="M532" s="7">
        <f t="shared" si="121"/>
        <v>0</v>
      </c>
      <c r="N532" s="36">
        <f t="shared" si="113"/>
        <v>150</v>
      </c>
      <c r="O532" s="7">
        <f t="shared" si="121"/>
        <v>0</v>
      </c>
      <c r="P532" s="36">
        <f t="shared" si="110"/>
        <v>150</v>
      </c>
      <c r="Q532" s="7">
        <f t="shared" si="121"/>
        <v>0</v>
      </c>
      <c r="R532" s="36">
        <f t="shared" si="111"/>
        <v>150</v>
      </c>
    </row>
    <row r="533" spans="1:18" ht="12.75">
      <c r="A533" s="62" t="str">
        <f ca="1">IF(ISERROR(MATCH(E533,Код_КВР,0)),"",INDIRECT(ADDRESS(MATCH(E533,Код_КВР,0)+1,2,,,"КВР")))</f>
        <v>Закупка товаров, работ и услуг для муниципальных нужд</v>
      </c>
      <c r="B533" s="115" t="s">
        <v>557</v>
      </c>
      <c r="C533" s="8" t="s">
        <v>221</v>
      </c>
      <c r="D533" s="1" t="s">
        <v>198</v>
      </c>
      <c r="E533" s="115">
        <v>200</v>
      </c>
      <c r="F533" s="7">
        <f t="shared" si="121"/>
        <v>150</v>
      </c>
      <c r="G533" s="7">
        <f t="shared" si="121"/>
        <v>0</v>
      </c>
      <c r="H533" s="36">
        <f t="shared" si="116"/>
        <v>150</v>
      </c>
      <c r="I533" s="7">
        <f t="shared" si="121"/>
        <v>0</v>
      </c>
      <c r="J533" s="36">
        <f t="shared" si="114"/>
        <v>150</v>
      </c>
      <c r="K533" s="7">
        <f t="shared" si="121"/>
        <v>0</v>
      </c>
      <c r="L533" s="36">
        <f t="shared" si="112"/>
        <v>150</v>
      </c>
      <c r="M533" s="7">
        <f t="shared" si="121"/>
        <v>0</v>
      </c>
      <c r="N533" s="36">
        <f t="shared" si="113"/>
        <v>150</v>
      </c>
      <c r="O533" s="7">
        <f t="shared" si="121"/>
        <v>0</v>
      </c>
      <c r="P533" s="36">
        <f t="shared" si="110"/>
        <v>150</v>
      </c>
      <c r="Q533" s="7">
        <f t="shared" si="121"/>
        <v>0</v>
      </c>
      <c r="R533" s="36">
        <f t="shared" si="111"/>
        <v>150</v>
      </c>
    </row>
    <row r="534" spans="1:18" ht="33">
      <c r="A534" s="62" t="str">
        <f ca="1">IF(ISERROR(MATCH(E534,Код_КВР,0)),"",INDIRECT(ADDRESS(MATCH(E534,Код_КВР,0)+1,2,,,"КВР")))</f>
        <v>Иные закупки товаров, работ и услуг для обеспечения муниципальных нужд</v>
      </c>
      <c r="B534" s="115" t="s">
        <v>557</v>
      </c>
      <c r="C534" s="8" t="s">
        <v>221</v>
      </c>
      <c r="D534" s="1" t="s">
        <v>198</v>
      </c>
      <c r="E534" s="115">
        <v>240</v>
      </c>
      <c r="F534" s="7">
        <f t="shared" si="121"/>
        <v>150</v>
      </c>
      <c r="G534" s="7">
        <f t="shared" si="121"/>
        <v>0</v>
      </c>
      <c r="H534" s="36">
        <f t="shared" si="116"/>
        <v>150</v>
      </c>
      <c r="I534" s="7">
        <f t="shared" si="121"/>
        <v>0</v>
      </c>
      <c r="J534" s="36">
        <f t="shared" si="114"/>
        <v>150</v>
      </c>
      <c r="K534" s="7">
        <f t="shared" si="121"/>
        <v>0</v>
      </c>
      <c r="L534" s="36">
        <f t="shared" si="112"/>
        <v>150</v>
      </c>
      <c r="M534" s="7">
        <f t="shared" si="121"/>
        <v>0</v>
      </c>
      <c r="N534" s="36">
        <f t="shared" si="113"/>
        <v>150</v>
      </c>
      <c r="O534" s="7">
        <f t="shared" si="121"/>
        <v>0</v>
      </c>
      <c r="P534" s="36">
        <f t="shared" si="110"/>
        <v>150</v>
      </c>
      <c r="Q534" s="7">
        <f t="shared" si="121"/>
        <v>0</v>
      </c>
      <c r="R534" s="36">
        <f t="shared" si="111"/>
        <v>150</v>
      </c>
    </row>
    <row r="535" spans="1:18" ht="33">
      <c r="A535" s="62" t="str">
        <f ca="1">IF(ISERROR(MATCH(E535,Код_КВР,0)),"",INDIRECT(ADDRESS(MATCH(E535,Код_КВР,0)+1,2,,,"КВР")))</f>
        <v xml:space="preserve">Прочая закупка товаров, работ и услуг для обеспечения муниципальных нужд         </v>
      </c>
      <c r="B535" s="115" t="s">
        <v>557</v>
      </c>
      <c r="C535" s="8" t="s">
        <v>221</v>
      </c>
      <c r="D535" s="1" t="s">
        <v>198</v>
      </c>
      <c r="E535" s="115">
        <v>244</v>
      </c>
      <c r="F535" s="7">
        <f>'прил.5'!G91</f>
        <v>150</v>
      </c>
      <c r="G535" s="7">
        <f>'прил.5'!H91</f>
        <v>0</v>
      </c>
      <c r="H535" s="36">
        <f t="shared" si="116"/>
        <v>150</v>
      </c>
      <c r="I535" s="7">
        <f>'прил.5'!J91</f>
        <v>0</v>
      </c>
      <c r="J535" s="36">
        <f t="shared" si="114"/>
        <v>150</v>
      </c>
      <c r="K535" s="7">
        <f>'прил.5'!L91</f>
        <v>0</v>
      </c>
      <c r="L535" s="36">
        <f t="shared" si="112"/>
        <v>150</v>
      </c>
      <c r="M535" s="7">
        <f>'прил.5'!N91</f>
        <v>0</v>
      </c>
      <c r="N535" s="36">
        <f t="shared" si="113"/>
        <v>150</v>
      </c>
      <c r="O535" s="7">
        <f>'прил.5'!P91</f>
        <v>0</v>
      </c>
      <c r="P535" s="36">
        <f t="shared" si="110"/>
        <v>150</v>
      </c>
      <c r="Q535" s="7">
        <f>'прил.5'!R91</f>
        <v>0</v>
      </c>
      <c r="R535" s="36">
        <f t="shared" si="111"/>
        <v>150</v>
      </c>
    </row>
    <row r="536" spans="1:18" ht="49.5">
      <c r="A536" s="62" t="str">
        <f ca="1">IF(ISERROR(MATCH(B536,Код_КЦСР,0)),"",INDIRECT(ADDRESS(MATCH(B536,Код_КЦСР,0)+1,2,,,"КЦСР")))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536" s="46" t="s">
        <v>559</v>
      </c>
      <c r="C536" s="8"/>
      <c r="D536" s="1"/>
      <c r="E536" s="115"/>
      <c r="F536" s="7">
        <f>F537+F542</f>
        <v>3117.5</v>
      </c>
      <c r="G536" s="7">
        <f>G537+G542</f>
        <v>0</v>
      </c>
      <c r="H536" s="36">
        <f t="shared" si="116"/>
        <v>3117.5</v>
      </c>
      <c r="I536" s="7">
        <f>I537+I542</f>
        <v>0</v>
      </c>
      <c r="J536" s="36">
        <f t="shared" si="114"/>
        <v>3117.5</v>
      </c>
      <c r="K536" s="7">
        <f>K537+K542</f>
        <v>0</v>
      </c>
      <c r="L536" s="36">
        <f t="shared" si="112"/>
        <v>3117.5</v>
      </c>
      <c r="M536" s="7">
        <f>M537+M542</f>
        <v>278</v>
      </c>
      <c r="N536" s="36">
        <f t="shared" si="113"/>
        <v>3395.5</v>
      </c>
      <c r="O536" s="7">
        <f>O537+O542</f>
        <v>0</v>
      </c>
      <c r="P536" s="36">
        <f t="shared" si="110"/>
        <v>3395.5</v>
      </c>
      <c r="Q536" s="7">
        <f>Q537+Q542+Q547</f>
        <v>312.6</v>
      </c>
      <c r="R536" s="36">
        <f t="shared" si="111"/>
        <v>3708.1</v>
      </c>
    </row>
    <row r="537" spans="1:18" ht="35.25" customHeight="1">
      <c r="A537" s="62" t="str">
        <f ca="1">IF(ISERROR(MATCH(B537,Код_КЦСР,0)),"",INDIRECT(ADDRESS(MATCH(B537,Код_КЦСР,0)+1,2,,,"КЦСР")))</f>
        <v>Субсидии организациям, образующим инфраструктуру поддержки МСП: НП «Агентство Городского Развития»</v>
      </c>
      <c r="B537" s="46" t="s">
        <v>561</v>
      </c>
      <c r="C537" s="8"/>
      <c r="D537" s="1"/>
      <c r="E537" s="115"/>
      <c r="F537" s="7">
        <f aca="true" t="shared" si="122" ref="F537:Q540">F538</f>
        <v>3115</v>
      </c>
      <c r="G537" s="7">
        <f t="shared" si="122"/>
        <v>0</v>
      </c>
      <c r="H537" s="36">
        <f t="shared" si="116"/>
        <v>3115</v>
      </c>
      <c r="I537" s="7">
        <f t="shared" si="122"/>
        <v>0</v>
      </c>
      <c r="J537" s="36">
        <f t="shared" si="114"/>
        <v>3115</v>
      </c>
      <c r="K537" s="7">
        <f t="shared" si="122"/>
        <v>0</v>
      </c>
      <c r="L537" s="36">
        <f t="shared" si="112"/>
        <v>3115</v>
      </c>
      <c r="M537" s="7">
        <f t="shared" si="122"/>
        <v>278</v>
      </c>
      <c r="N537" s="36">
        <f t="shared" si="113"/>
        <v>3393</v>
      </c>
      <c r="O537" s="7">
        <f t="shared" si="122"/>
        <v>0</v>
      </c>
      <c r="P537" s="36">
        <f t="shared" si="110"/>
        <v>3393</v>
      </c>
      <c r="Q537" s="7">
        <f t="shared" si="122"/>
        <v>0</v>
      </c>
      <c r="R537" s="36">
        <f t="shared" si="111"/>
        <v>3393</v>
      </c>
    </row>
    <row r="538" spans="1:18" ht="17.25" customHeight="1">
      <c r="A538" s="62" t="str">
        <f ca="1">IF(ISERROR(MATCH(C538,Код_Раздел,0)),"",INDIRECT(ADDRESS(MATCH(C538,Код_Раздел,0)+1,2,,,"Раздел")))</f>
        <v>Национальная экономика</v>
      </c>
      <c r="B538" s="46" t="s">
        <v>561</v>
      </c>
      <c r="C538" s="8" t="s">
        <v>224</v>
      </c>
      <c r="D538" s="1"/>
      <c r="E538" s="115"/>
      <c r="F538" s="7">
        <f t="shared" si="122"/>
        <v>3115</v>
      </c>
      <c r="G538" s="7">
        <f t="shared" si="122"/>
        <v>0</v>
      </c>
      <c r="H538" s="36">
        <f t="shared" si="116"/>
        <v>3115</v>
      </c>
      <c r="I538" s="7">
        <f t="shared" si="122"/>
        <v>0</v>
      </c>
      <c r="J538" s="36">
        <f t="shared" si="114"/>
        <v>3115</v>
      </c>
      <c r="K538" s="7">
        <f t="shared" si="122"/>
        <v>0</v>
      </c>
      <c r="L538" s="36">
        <f t="shared" si="112"/>
        <v>3115</v>
      </c>
      <c r="M538" s="7">
        <f t="shared" si="122"/>
        <v>278</v>
      </c>
      <c r="N538" s="36">
        <f t="shared" si="113"/>
        <v>3393</v>
      </c>
      <c r="O538" s="7">
        <f t="shared" si="122"/>
        <v>0</v>
      </c>
      <c r="P538" s="36">
        <f t="shared" si="110"/>
        <v>3393</v>
      </c>
      <c r="Q538" s="7">
        <f t="shared" si="122"/>
        <v>0</v>
      </c>
      <c r="R538" s="36">
        <f t="shared" si="111"/>
        <v>3393</v>
      </c>
    </row>
    <row r="539" spans="1:18" ht="19.5" customHeight="1">
      <c r="A539" s="12" t="s">
        <v>245</v>
      </c>
      <c r="B539" s="46" t="s">
        <v>561</v>
      </c>
      <c r="C539" s="8" t="s">
        <v>224</v>
      </c>
      <c r="D539" s="8" t="s">
        <v>204</v>
      </c>
      <c r="E539" s="115"/>
      <c r="F539" s="7">
        <f t="shared" si="122"/>
        <v>3115</v>
      </c>
      <c r="G539" s="7">
        <f t="shared" si="122"/>
        <v>0</v>
      </c>
      <c r="H539" s="36">
        <f t="shared" si="116"/>
        <v>3115</v>
      </c>
      <c r="I539" s="7">
        <f t="shared" si="122"/>
        <v>0</v>
      </c>
      <c r="J539" s="36">
        <f t="shared" si="114"/>
        <v>3115</v>
      </c>
      <c r="K539" s="7">
        <f t="shared" si="122"/>
        <v>0</v>
      </c>
      <c r="L539" s="36">
        <f t="shared" si="112"/>
        <v>3115</v>
      </c>
      <c r="M539" s="7">
        <f t="shared" si="122"/>
        <v>278</v>
      </c>
      <c r="N539" s="36">
        <f t="shared" si="113"/>
        <v>3393</v>
      </c>
      <c r="O539" s="7">
        <f t="shared" si="122"/>
        <v>0</v>
      </c>
      <c r="P539" s="36">
        <f t="shared" si="110"/>
        <v>3393</v>
      </c>
      <c r="Q539" s="7">
        <f t="shared" si="122"/>
        <v>0</v>
      </c>
      <c r="R539" s="36">
        <f t="shared" si="111"/>
        <v>3393</v>
      </c>
    </row>
    <row r="540" spans="1:18" ht="36.75" customHeight="1">
      <c r="A540" s="62" t="str">
        <f ca="1">IF(ISERROR(MATCH(E540,Код_КВР,0)),"",INDIRECT(ADDRESS(MATCH(E540,Код_КВР,0)+1,2,,,"КВР")))</f>
        <v>Предоставление субсидий бюджетным, автономным учреждениям и иным некоммерческим организациям</v>
      </c>
      <c r="B540" s="46" t="s">
        <v>561</v>
      </c>
      <c r="C540" s="8" t="s">
        <v>224</v>
      </c>
      <c r="D540" s="8" t="s">
        <v>204</v>
      </c>
      <c r="E540" s="115">
        <v>600</v>
      </c>
      <c r="F540" s="7">
        <f t="shared" si="122"/>
        <v>3115</v>
      </c>
      <c r="G540" s="7">
        <f t="shared" si="122"/>
        <v>0</v>
      </c>
      <c r="H540" s="36">
        <f t="shared" si="116"/>
        <v>3115</v>
      </c>
      <c r="I540" s="7">
        <f t="shared" si="122"/>
        <v>0</v>
      </c>
      <c r="J540" s="36">
        <f t="shared" si="114"/>
        <v>3115</v>
      </c>
      <c r="K540" s="7">
        <f t="shared" si="122"/>
        <v>0</v>
      </c>
      <c r="L540" s="36">
        <f t="shared" si="112"/>
        <v>3115</v>
      </c>
      <c r="M540" s="7">
        <f t="shared" si="122"/>
        <v>278</v>
      </c>
      <c r="N540" s="36">
        <f t="shared" si="113"/>
        <v>3393</v>
      </c>
      <c r="O540" s="7">
        <f t="shared" si="122"/>
        <v>0</v>
      </c>
      <c r="P540" s="36">
        <f t="shared" si="110"/>
        <v>3393</v>
      </c>
      <c r="Q540" s="7">
        <f t="shared" si="122"/>
        <v>0</v>
      </c>
      <c r="R540" s="36">
        <f t="shared" si="111"/>
        <v>3393</v>
      </c>
    </row>
    <row r="541" spans="1:18" ht="35.25" customHeight="1">
      <c r="A541" s="62" t="str">
        <f ca="1">IF(ISERROR(MATCH(E541,Код_КВР,0)),"",INDIRECT(ADDRESS(MATCH(E541,Код_КВР,0)+1,2,,,"КВР")))</f>
        <v>Субсидии некоммерческим организациям (за исключением государственных (муниципальных) учреждений)</v>
      </c>
      <c r="B541" s="46" t="s">
        <v>561</v>
      </c>
      <c r="C541" s="8" t="s">
        <v>224</v>
      </c>
      <c r="D541" s="8" t="s">
        <v>204</v>
      </c>
      <c r="E541" s="115">
        <v>630</v>
      </c>
      <c r="F541" s="7">
        <f>'прил.5'!G274</f>
        <v>3115</v>
      </c>
      <c r="G541" s="7">
        <f>'прил.5'!H274</f>
        <v>0</v>
      </c>
      <c r="H541" s="36">
        <f t="shared" si="116"/>
        <v>3115</v>
      </c>
      <c r="I541" s="7">
        <f>'прил.5'!J274</f>
        <v>0</v>
      </c>
      <c r="J541" s="36">
        <f t="shared" si="114"/>
        <v>3115</v>
      </c>
      <c r="K541" s="7">
        <f>'прил.5'!L274</f>
        <v>0</v>
      </c>
      <c r="L541" s="36">
        <f t="shared" si="112"/>
        <v>3115</v>
      </c>
      <c r="M541" s="7">
        <f>'прил.5'!N274</f>
        <v>278</v>
      </c>
      <c r="N541" s="36">
        <f t="shared" si="113"/>
        <v>3393</v>
      </c>
      <c r="O541" s="7">
        <f>'прил.5'!P274</f>
        <v>0</v>
      </c>
      <c r="P541" s="36">
        <f t="shared" si="110"/>
        <v>3393</v>
      </c>
      <c r="Q541" s="7">
        <f>'прил.5'!R274</f>
        <v>0</v>
      </c>
      <c r="R541" s="36">
        <f t="shared" si="111"/>
        <v>3393</v>
      </c>
    </row>
    <row r="542" spans="1:18" ht="50.25" customHeight="1">
      <c r="A542" s="62" t="str">
        <f ca="1">IF(ISERROR(MATCH(B542,Код_КЦСР,0)),"",INDIRECT(ADDRESS(MATCH(B542,Код_КЦСР,0)+1,2,,,"КЦСР")))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42" s="48" t="s">
        <v>563</v>
      </c>
      <c r="C542" s="8"/>
      <c r="D542" s="1"/>
      <c r="E542" s="115"/>
      <c r="F542" s="7">
        <f aca="true" t="shared" si="123" ref="F542:Q545">F543</f>
        <v>2.5</v>
      </c>
      <c r="G542" s="7">
        <f t="shared" si="123"/>
        <v>0</v>
      </c>
      <c r="H542" s="36">
        <f t="shared" si="116"/>
        <v>2.5</v>
      </c>
      <c r="I542" s="7">
        <f t="shared" si="123"/>
        <v>0</v>
      </c>
      <c r="J542" s="36">
        <f t="shared" si="114"/>
        <v>2.5</v>
      </c>
      <c r="K542" s="7">
        <f t="shared" si="123"/>
        <v>0</v>
      </c>
      <c r="L542" s="36">
        <f t="shared" si="112"/>
        <v>2.5</v>
      </c>
      <c r="M542" s="7">
        <f t="shared" si="123"/>
        <v>0</v>
      </c>
      <c r="N542" s="36">
        <f t="shared" si="113"/>
        <v>2.5</v>
      </c>
      <c r="O542" s="7">
        <f t="shared" si="123"/>
        <v>0</v>
      </c>
      <c r="P542" s="36">
        <f t="shared" si="110"/>
        <v>2.5</v>
      </c>
      <c r="Q542" s="7">
        <f t="shared" si="123"/>
        <v>0</v>
      </c>
      <c r="R542" s="36">
        <f t="shared" si="111"/>
        <v>2.5</v>
      </c>
    </row>
    <row r="543" spans="1:18" ht="12.75">
      <c r="A543" s="62" t="str">
        <f ca="1">IF(ISERROR(MATCH(C543,Код_Раздел,0)),"",INDIRECT(ADDRESS(MATCH(C543,Код_Раздел,0)+1,2,,,"Раздел")))</f>
        <v>Национальная экономика</v>
      </c>
      <c r="B543" s="48" t="s">
        <v>563</v>
      </c>
      <c r="C543" s="8" t="s">
        <v>224</v>
      </c>
      <c r="D543" s="1"/>
      <c r="E543" s="115"/>
      <c r="F543" s="7">
        <f t="shared" si="123"/>
        <v>2.5</v>
      </c>
      <c r="G543" s="7">
        <f t="shared" si="123"/>
        <v>0</v>
      </c>
      <c r="H543" s="36">
        <f t="shared" si="116"/>
        <v>2.5</v>
      </c>
      <c r="I543" s="7">
        <f t="shared" si="123"/>
        <v>0</v>
      </c>
      <c r="J543" s="36">
        <f t="shared" si="114"/>
        <v>2.5</v>
      </c>
      <c r="K543" s="7">
        <f t="shared" si="123"/>
        <v>0</v>
      </c>
      <c r="L543" s="36">
        <f t="shared" si="112"/>
        <v>2.5</v>
      </c>
      <c r="M543" s="7">
        <f t="shared" si="123"/>
        <v>0</v>
      </c>
      <c r="N543" s="36">
        <f t="shared" si="113"/>
        <v>2.5</v>
      </c>
      <c r="O543" s="7">
        <f t="shared" si="123"/>
        <v>0</v>
      </c>
      <c r="P543" s="36">
        <f t="shared" si="110"/>
        <v>2.5</v>
      </c>
      <c r="Q543" s="7">
        <f t="shared" si="123"/>
        <v>0</v>
      </c>
      <c r="R543" s="36">
        <f t="shared" si="111"/>
        <v>2.5</v>
      </c>
    </row>
    <row r="544" spans="1:18" ht="12.75">
      <c r="A544" s="12" t="s">
        <v>245</v>
      </c>
      <c r="B544" s="48" t="s">
        <v>563</v>
      </c>
      <c r="C544" s="8" t="s">
        <v>224</v>
      </c>
      <c r="D544" s="8" t="s">
        <v>204</v>
      </c>
      <c r="E544" s="115"/>
      <c r="F544" s="7">
        <f t="shared" si="123"/>
        <v>2.5</v>
      </c>
      <c r="G544" s="7">
        <f t="shared" si="123"/>
        <v>0</v>
      </c>
      <c r="H544" s="36">
        <f t="shared" si="116"/>
        <v>2.5</v>
      </c>
      <c r="I544" s="7">
        <f t="shared" si="123"/>
        <v>0</v>
      </c>
      <c r="J544" s="36">
        <f t="shared" si="114"/>
        <v>2.5</v>
      </c>
      <c r="K544" s="7">
        <f t="shared" si="123"/>
        <v>0</v>
      </c>
      <c r="L544" s="36">
        <f t="shared" si="112"/>
        <v>2.5</v>
      </c>
      <c r="M544" s="7">
        <f t="shared" si="123"/>
        <v>0</v>
      </c>
      <c r="N544" s="36">
        <f t="shared" si="113"/>
        <v>2.5</v>
      </c>
      <c r="O544" s="7">
        <f t="shared" si="123"/>
        <v>0</v>
      </c>
      <c r="P544" s="36">
        <f t="shared" si="110"/>
        <v>2.5</v>
      </c>
      <c r="Q544" s="7">
        <f t="shared" si="123"/>
        <v>0</v>
      </c>
      <c r="R544" s="36">
        <f t="shared" si="111"/>
        <v>2.5</v>
      </c>
    </row>
    <row r="545" spans="1:18" ht="33">
      <c r="A545" s="62" t="str">
        <f ca="1">IF(ISERROR(MATCH(E545,Код_КВР,0)),"",INDIRECT(ADDRESS(MATCH(E545,Код_КВР,0)+1,2,,,"КВР")))</f>
        <v>Предоставление субсидий бюджетным, автономным учреждениям и иным некоммерческим организациям</v>
      </c>
      <c r="B545" s="48" t="s">
        <v>563</v>
      </c>
      <c r="C545" s="8" t="s">
        <v>224</v>
      </c>
      <c r="D545" s="8" t="s">
        <v>204</v>
      </c>
      <c r="E545" s="115">
        <v>600</v>
      </c>
      <c r="F545" s="7">
        <f t="shared" si="123"/>
        <v>2.5</v>
      </c>
      <c r="G545" s="7">
        <f t="shared" si="123"/>
        <v>0</v>
      </c>
      <c r="H545" s="36">
        <f t="shared" si="116"/>
        <v>2.5</v>
      </c>
      <c r="I545" s="7">
        <f t="shared" si="123"/>
        <v>0</v>
      </c>
      <c r="J545" s="36">
        <f t="shared" si="114"/>
        <v>2.5</v>
      </c>
      <c r="K545" s="7">
        <f t="shared" si="123"/>
        <v>0</v>
      </c>
      <c r="L545" s="36">
        <f t="shared" si="112"/>
        <v>2.5</v>
      </c>
      <c r="M545" s="7">
        <f t="shared" si="123"/>
        <v>0</v>
      </c>
      <c r="N545" s="36">
        <f t="shared" si="113"/>
        <v>2.5</v>
      </c>
      <c r="O545" s="7">
        <f t="shared" si="123"/>
        <v>0</v>
      </c>
      <c r="P545" s="36">
        <f t="shared" si="110"/>
        <v>2.5</v>
      </c>
      <c r="Q545" s="7">
        <f t="shared" si="123"/>
        <v>0</v>
      </c>
      <c r="R545" s="36">
        <f t="shared" si="111"/>
        <v>2.5</v>
      </c>
    </row>
    <row r="546" spans="1:18" ht="33">
      <c r="A546" s="62" t="str">
        <f ca="1">IF(ISERROR(MATCH(E546,Код_КВР,0)),"",INDIRECT(ADDRESS(MATCH(E546,Код_КВР,0)+1,2,,,"КВР")))</f>
        <v>Субсидии некоммерческим организациям (за исключением государственных (муниципальных) учреждений)</v>
      </c>
      <c r="B546" s="48" t="s">
        <v>563</v>
      </c>
      <c r="C546" s="8" t="s">
        <v>224</v>
      </c>
      <c r="D546" s="8" t="s">
        <v>204</v>
      </c>
      <c r="E546" s="115">
        <v>630</v>
      </c>
      <c r="F546" s="13">
        <f>'прил.5'!G277</f>
        <v>2.5</v>
      </c>
      <c r="G546" s="13">
        <f>'прил.5'!H277</f>
        <v>0</v>
      </c>
      <c r="H546" s="36">
        <f t="shared" si="116"/>
        <v>2.5</v>
      </c>
      <c r="I546" s="13">
        <f>'прил.5'!J277</f>
        <v>0</v>
      </c>
      <c r="J546" s="36">
        <f t="shared" si="114"/>
        <v>2.5</v>
      </c>
      <c r="K546" s="13">
        <f>'прил.5'!L277</f>
        <v>0</v>
      </c>
      <c r="L546" s="36">
        <f t="shared" si="112"/>
        <v>2.5</v>
      </c>
      <c r="M546" s="13">
        <f>'прил.5'!N277</f>
        <v>0</v>
      </c>
      <c r="N546" s="36">
        <f t="shared" si="113"/>
        <v>2.5</v>
      </c>
      <c r="O546" s="13">
        <f>'прил.5'!P277</f>
        <v>0</v>
      </c>
      <c r="P546" s="36">
        <f t="shared" si="110"/>
        <v>2.5</v>
      </c>
      <c r="Q546" s="13">
        <f>'прил.5'!R277</f>
        <v>0</v>
      </c>
      <c r="R546" s="36">
        <f t="shared" si="111"/>
        <v>2.5</v>
      </c>
    </row>
    <row r="547" spans="1:18" ht="49.5">
      <c r="A547" s="62" t="str">
        <f ca="1">IF(ISERROR(MATCH(B547,Код_КЦСР,0)),"",INDIRECT(ADDRESS(MATCH(B547,Код_КЦСР,0)+1,2,,,"КЦСР")))</f>
        <v>Государственная поддержка малого и среднего предпринимательства, включая крестьянские (фермерские) хозяйства, за счет субсидий из федерального бюджета</v>
      </c>
      <c r="B547" s="48" t="s">
        <v>657</v>
      </c>
      <c r="C547" s="8"/>
      <c r="D547" s="1"/>
      <c r="E547" s="122"/>
      <c r="F547" s="13"/>
      <c r="G547" s="13"/>
      <c r="H547" s="36"/>
      <c r="I547" s="13"/>
      <c r="J547" s="36"/>
      <c r="K547" s="13"/>
      <c r="L547" s="36"/>
      <c r="M547" s="13"/>
      <c r="N547" s="36"/>
      <c r="O547" s="13"/>
      <c r="P547" s="36"/>
      <c r="Q547" s="13">
        <f>Q548</f>
        <v>312.6</v>
      </c>
      <c r="R547" s="36">
        <f t="shared" si="111"/>
        <v>312.6</v>
      </c>
    </row>
    <row r="548" spans="1:18" ht="12.75">
      <c r="A548" s="62" t="str">
        <f ca="1">IF(ISERROR(MATCH(C548,Код_Раздел,0)),"",INDIRECT(ADDRESS(MATCH(C548,Код_Раздел,0)+1,2,,,"Раздел")))</f>
        <v>Национальная экономика</v>
      </c>
      <c r="B548" s="48" t="s">
        <v>657</v>
      </c>
      <c r="C548" s="8" t="s">
        <v>224</v>
      </c>
      <c r="D548" s="1"/>
      <c r="E548" s="122"/>
      <c r="F548" s="13"/>
      <c r="G548" s="13"/>
      <c r="H548" s="36"/>
      <c r="I548" s="13"/>
      <c r="J548" s="36"/>
      <c r="K548" s="13"/>
      <c r="L548" s="36"/>
      <c r="M548" s="13"/>
      <c r="N548" s="36"/>
      <c r="O548" s="13"/>
      <c r="P548" s="36"/>
      <c r="Q548" s="13">
        <f>Q549</f>
        <v>312.6</v>
      </c>
      <c r="R548" s="36">
        <f t="shared" si="111"/>
        <v>312.6</v>
      </c>
    </row>
    <row r="549" spans="1:18" ht="12.75">
      <c r="A549" s="12" t="s">
        <v>245</v>
      </c>
      <c r="B549" s="48" t="s">
        <v>657</v>
      </c>
      <c r="C549" s="8" t="s">
        <v>224</v>
      </c>
      <c r="D549" s="8" t="s">
        <v>204</v>
      </c>
      <c r="E549" s="122"/>
      <c r="F549" s="13"/>
      <c r="G549" s="13"/>
      <c r="H549" s="36"/>
      <c r="I549" s="13"/>
      <c r="J549" s="36"/>
      <c r="K549" s="13"/>
      <c r="L549" s="36"/>
      <c r="M549" s="13"/>
      <c r="N549" s="36"/>
      <c r="O549" s="13"/>
      <c r="P549" s="36"/>
      <c r="Q549" s="13">
        <f>Q550</f>
        <v>312.6</v>
      </c>
      <c r="R549" s="36">
        <f t="shared" si="111"/>
        <v>312.6</v>
      </c>
    </row>
    <row r="550" spans="1:18" ht="21.95" customHeight="1">
      <c r="A550" s="62" t="str">
        <f ca="1">IF(ISERROR(MATCH(E550,Код_КВР,0)),"",INDIRECT(ADDRESS(MATCH(E550,Код_КВР,0)+1,2,,,"КВР")))</f>
        <v>Иные бюджетные ассигнования</v>
      </c>
      <c r="B550" s="48" t="s">
        <v>657</v>
      </c>
      <c r="C550" s="8" t="s">
        <v>224</v>
      </c>
      <c r="D550" s="8" t="s">
        <v>204</v>
      </c>
      <c r="E550" s="122">
        <v>800</v>
      </c>
      <c r="F550" s="13"/>
      <c r="G550" s="13"/>
      <c r="H550" s="36"/>
      <c r="I550" s="13"/>
      <c r="J550" s="36"/>
      <c r="K550" s="13"/>
      <c r="L550" s="36"/>
      <c r="M550" s="13"/>
      <c r="N550" s="36"/>
      <c r="O550" s="13"/>
      <c r="P550" s="36"/>
      <c r="Q550" s="13">
        <f>Q551</f>
        <v>312.6</v>
      </c>
      <c r="R550" s="36">
        <f t="shared" si="111"/>
        <v>312.6</v>
      </c>
    </row>
    <row r="551" spans="1:18" ht="49.5">
      <c r="A551" s="62" t="str">
        <f ca="1">IF(ISERROR(MATCH(E551,Код_КВР,0)),"",INDIRECT(ADDRESS(MATCH(E551,Код_КВР,0)+1,2,,,"КВР")))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51" s="48" t="s">
        <v>657</v>
      </c>
      <c r="C551" s="8" t="s">
        <v>224</v>
      </c>
      <c r="D551" s="8" t="s">
        <v>204</v>
      </c>
      <c r="E551" s="122">
        <v>810</v>
      </c>
      <c r="F551" s="13"/>
      <c r="G551" s="13"/>
      <c r="H551" s="36"/>
      <c r="I551" s="13"/>
      <c r="J551" s="36"/>
      <c r="K551" s="13"/>
      <c r="L551" s="36"/>
      <c r="M551" s="13"/>
      <c r="N551" s="36"/>
      <c r="O551" s="13"/>
      <c r="P551" s="36"/>
      <c r="Q551" s="13">
        <f>'прил.5'!R280</f>
        <v>312.6</v>
      </c>
      <c r="R551" s="36">
        <f t="shared" si="111"/>
        <v>312.6</v>
      </c>
    </row>
    <row r="552" spans="1:18" ht="33">
      <c r="A552" s="62" t="str">
        <f ca="1">IF(ISERROR(MATCH(B552,Код_КЦСР,0)),"",INDIRECT(ADDRESS(MATCH(B552,Код_КЦСР,0)+1,2,,,"КЦСР")))</f>
        <v>Муниципальная программа «Повышение инвестиционной привлекательности города Череповца» на 2014-2018 годы</v>
      </c>
      <c r="B552" s="46" t="s">
        <v>565</v>
      </c>
      <c r="C552" s="8"/>
      <c r="D552" s="1"/>
      <c r="E552" s="115"/>
      <c r="F552" s="7">
        <f>F553+F558+F563</f>
        <v>11791.2</v>
      </c>
      <c r="G552" s="7">
        <f>G553+G558+G563</f>
        <v>0</v>
      </c>
      <c r="H552" s="36">
        <f t="shared" si="116"/>
        <v>11791.2</v>
      </c>
      <c r="I552" s="7">
        <f>I553+I558+I563</f>
        <v>0</v>
      </c>
      <c r="J552" s="36">
        <f t="shared" si="114"/>
        <v>11791.2</v>
      </c>
      <c r="K552" s="7">
        <f>K553+K558+K563</f>
        <v>0</v>
      </c>
      <c r="L552" s="36">
        <f t="shared" si="112"/>
        <v>11791.2</v>
      </c>
      <c r="M552" s="7">
        <f>M553+M558+M563</f>
        <v>0</v>
      </c>
      <c r="N552" s="36">
        <f t="shared" si="113"/>
        <v>11791.2</v>
      </c>
      <c r="O552" s="7">
        <f>O553+O558+O563</f>
        <v>0</v>
      </c>
      <c r="P552" s="36">
        <f t="shared" si="110"/>
        <v>11791.2</v>
      </c>
      <c r="Q552" s="7">
        <f>Q553+Q558+Q563</f>
        <v>0</v>
      </c>
      <c r="R552" s="36">
        <f t="shared" si="111"/>
        <v>11791.2</v>
      </c>
    </row>
    <row r="553" spans="1:18" ht="33">
      <c r="A553" s="62" t="str">
        <f ca="1">IF(ISERROR(MATCH(B553,Код_КЦСР,0)),"",INDIRECT(ADDRESS(MATCH(B553,Код_КЦСР,0)+1,2,,,"КЦСР")))</f>
        <v>Стимулирование экономического роста путем привлечения инвесторов</v>
      </c>
      <c r="B553" s="46" t="s">
        <v>567</v>
      </c>
      <c r="C553" s="8"/>
      <c r="D553" s="1"/>
      <c r="E553" s="115"/>
      <c r="F553" s="7">
        <f aca="true" t="shared" si="124" ref="F553:Q556">F554</f>
        <v>5549.9</v>
      </c>
      <c r="G553" s="7">
        <f t="shared" si="124"/>
        <v>0</v>
      </c>
      <c r="H553" s="36">
        <f t="shared" si="116"/>
        <v>5549.9</v>
      </c>
      <c r="I553" s="7">
        <f t="shared" si="124"/>
        <v>0</v>
      </c>
      <c r="J553" s="36">
        <f t="shared" si="114"/>
        <v>5549.9</v>
      </c>
      <c r="K553" s="7">
        <f t="shared" si="124"/>
        <v>0</v>
      </c>
      <c r="L553" s="36">
        <f t="shared" si="112"/>
        <v>5549.9</v>
      </c>
      <c r="M553" s="7">
        <f t="shared" si="124"/>
        <v>0</v>
      </c>
      <c r="N553" s="36">
        <f t="shared" si="113"/>
        <v>5549.9</v>
      </c>
      <c r="O553" s="7">
        <f t="shared" si="124"/>
        <v>0</v>
      </c>
      <c r="P553" s="36">
        <f t="shared" si="110"/>
        <v>5549.9</v>
      </c>
      <c r="Q553" s="7">
        <f t="shared" si="124"/>
        <v>0</v>
      </c>
      <c r="R553" s="36">
        <f t="shared" si="111"/>
        <v>5549.9</v>
      </c>
    </row>
    <row r="554" spans="1:18" ht="12.75">
      <c r="A554" s="62" t="str">
        <f ca="1">IF(ISERROR(MATCH(C554,Код_Раздел,0)),"",INDIRECT(ADDRESS(MATCH(C554,Код_Раздел,0)+1,2,,,"Раздел")))</f>
        <v>Национальная экономика</v>
      </c>
      <c r="B554" s="46" t="s">
        <v>567</v>
      </c>
      <c r="C554" s="8" t="s">
        <v>224</v>
      </c>
      <c r="D554" s="1"/>
      <c r="E554" s="115"/>
      <c r="F554" s="7">
        <f t="shared" si="124"/>
        <v>5549.9</v>
      </c>
      <c r="G554" s="7">
        <f t="shared" si="124"/>
        <v>0</v>
      </c>
      <c r="H554" s="36">
        <f t="shared" si="116"/>
        <v>5549.9</v>
      </c>
      <c r="I554" s="7">
        <f t="shared" si="124"/>
        <v>0</v>
      </c>
      <c r="J554" s="36">
        <f t="shared" si="114"/>
        <v>5549.9</v>
      </c>
      <c r="K554" s="7">
        <f t="shared" si="124"/>
        <v>0</v>
      </c>
      <c r="L554" s="36">
        <f t="shared" si="112"/>
        <v>5549.9</v>
      </c>
      <c r="M554" s="7">
        <f t="shared" si="124"/>
        <v>0</v>
      </c>
      <c r="N554" s="36">
        <f t="shared" si="113"/>
        <v>5549.9</v>
      </c>
      <c r="O554" s="7">
        <f t="shared" si="124"/>
        <v>0</v>
      </c>
      <c r="P554" s="36">
        <f t="shared" si="110"/>
        <v>5549.9</v>
      </c>
      <c r="Q554" s="7">
        <f t="shared" si="124"/>
        <v>0</v>
      </c>
      <c r="R554" s="36">
        <f t="shared" si="111"/>
        <v>5549.9</v>
      </c>
    </row>
    <row r="555" spans="1:18" ht="12.75">
      <c r="A555" s="12" t="s">
        <v>245</v>
      </c>
      <c r="B555" s="46" t="s">
        <v>567</v>
      </c>
      <c r="C555" s="8" t="s">
        <v>224</v>
      </c>
      <c r="D555" s="8" t="s">
        <v>204</v>
      </c>
      <c r="E555" s="115"/>
      <c r="F555" s="7">
        <f t="shared" si="124"/>
        <v>5549.9</v>
      </c>
      <c r="G555" s="7">
        <f t="shared" si="124"/>
        <v>0</v>
      </c>
      <c r="H555" s="36">
        <f t="shared" si="116"/>
        <v>5549.9</v>
      </c>
      <c r="I555" s="7">
        <f t="shared" si="124"/>
        <v>0</v>
      </c>
      <c r="J555" s="36">
        <f t="shared" si="114"/>
        <v>5549.9</v>
      </c>
      <c r="K555" s="7">
        <f t="shared" si="124"/>
        <v>0</v>
      </c>
      <c r="L555" s="36">
        <f t="shared" si="112"/>
        <v>5549.9</v>
      </c>
      <c r="M555" s="7">
        <f t="shared" si="124"/>
        <v>0</v>
      </c>
      <c r="N555" s="36">
        <f t="shared" si="113"/>
        <v>5549.9</v>
      </c>
      <c r="O555" s="7">
        <f t="shared" si="124"/>
        <v>0</v>
      </c>
      <c r="P555" s="36">
        <f t="shared" si="110"/>
        <v>5549.9</v>
      </c>
      <c r="Q555" s="7">
        <f t="shared" si="124"/>
        <v>0</v>
      </c>
      <c r="R555" s="36">
        <f t="shared" si="111"/>
        <v>5549.9</v>
      </c>
    </row>
    <row r="556" spans="1:18" ht="33">
      <c r="A556" s="62" t="str">
        <f ca="1">IF(ISERROR(MATCH(E556,Код_КВР,0)),"",INDIRECT(ADDRESS(MATCH(E556,Код_КВР,0)+1,2,,,"КВР")))</f>
        <v>Предоставление субсидий бюджетным, автономным учреждениям и иным некоммерческим организациям</v>
      </c>
      <c r="B556" s="46" t="s">
        <v>567</v>
      </c>
      <c r="C556" s="8" t="s">
        <v>224</v>
      </c>
      <c r="D556" s="8" t="s">
        <v>204</v>
      </c>
      <c r="E556" s="115">
        <v>600</v>
      </c>
      <c r="F556" s="7">
        <f t="shared" si="124"/>
        <v>5549.9</v>
      </c>
      <c r="G556" s="7">
        <f t="shared" si="124"/>
        <v>0</v>
      </c>
      <c r="H556" s="36">
        <f t="shared" si="116"/>
        <v>5549.9</v>
      </c>
      <c r="I556" s="7">
        <f t="shared" si="124"/>
        <v>0</v>
      </c>
      <c r="J556" s="36">
        <f t="shared" si="114"/>
        <v>5549.9</v>
      </c>
      <c r="K556" s="7">
        <f t="shared" si="124"/>
        <v>0</v>
      </c>
      <c r="L556" s="36">
        <f t="shared" si="112"/>
        <v>5549.9</v>
      </c>
      <c r="M556" s="7">
        <f t="shared" si="124"/>
        <v>0</v>
      </c>
      <c r="N556" s="36">
        <f t="shared" si="113"/>
        <v>5549.9</v>
      </c>
      <c r="O556" s="7">
        <f t="shared" si="124"/>
        <v>0</v>
      </c>
      <c r="P556" s="36">
        <f aca="true" t="shared" si="125" ref="P556:P619">N556+O556</f>
        <v>5549.9</v>
      </c>
      <c r="Q556" s="7">
        <f t="shared" si="124"/>
        <v>0</v>
      </c>
      <c r="R556" s="36">
        <f aca="true" t="shared" si="126" ref="R556:R619">P556+Q556</f>
        <v>5549.9</v>
      </c>
    </row>
    <row r="557" spans="1:18" ht="33">
      <c r="A557" s="62" t="str">
        <f ca="1">IF(ISERROR(MATCH(E557,Код_КВР,0)),"",INDIRECT(ADDRESS(MATCH(E557,Код_КВР,0)+1,2,,,"КВР")))</f>
        <v>Субсидии некоммерческим организациям (за исключением государственных (муниципальных) учреждений)</v>
      </c>
      <c r="B557" s="46" t="s">
        <v>567</v>
      </c>
      <c r="C557" s="8" t="s">
        <v>224</v>
      </c>
      <c r="D557" s="8" t="s">
        <v>204</v>
      </c>
      <c r="E557" s="115">
        <v>630</v>
      </c>
      <c r="F557" s="7">
        <f>'прил.5'!G284</f>
        <v>5549.9</v>
      </c>
      <c r="G557" s="7">
        <f>'прил.5'!H284</f>
        <v>0</v>
      </c>
      <c r="H557" s="36">
        <f t="shared" si="116"/>
        <v>5549.9</v>
      </c>
      <c r="I557" s="7">
        <f>'прил.5'!J284</f>
        <v>0</v>
      </c>
      <c r="J557" s="36">
        <f t="shared" si="114"/>
        <v>5549.9</v>
      </c>
      <c r="K557" s="7">
        <f>'прил.5'!L284</f>
        <v>0</v>
      </c>
      <c r="L557" s="36">
        <f t="shared" si="112"/>
        <v>5549.9</v>
      </c>
      <c r="M557" s="7">
        <f>'прил.5'!N284</f>
        <v>0</v>
      </c>
      <c r="N557" s="36">
        <f t="shared" si="113"/>
        <v>5549.9</v>
      </c>
      <c r="O557" s="7">
        <f>'прил.5'!P284</f>
        <v>0</v>
      </c>
      <c r="P557" s="36">
        <f t="shared" si="125"/>
        <v>5549.9</v>
      </c>
      <c r="Q557" s="7">
        <f>'прил.5'!R284</f>
        <v>0</v>
      </c>
      <c r="R557" s="36">
        <f t="shared" si="126"/>
        <v>5549.9</v>
      </c>
    </row>
    <row r="558" spans="1:18" ht="33">
      <c r="A558" s="62" t="str">
        <f ca="1">IF(ISERROR(MATCH(B558,Код_КЦСР,0)),"",INDIRECT(ADDRESS(MATCH(B558,Код_КЦСР,0)+1,2,,,"КЦСР")))</f>
        <v>Информационное и нормативно-правовое сопровождение инвестиционной деятельности</v>
      </c>
      <c r="B558" s="46" t="s">
        <v>569</v>
      </c>
      <c r="C558" s="8"/>
      <c r="D558" s="1"/>
      <c r="E558" s="115"/>
      <c r="F558" s="7">
        <f aca="true" t="shared" si="127" ref="F558:Q561">F559</f>
        <v>2874.8</v>
      </c>
      <c r="G558" s="7">
        <f t="shared" si="127"/>
        <v>0</v>
      </c>
      <c r="H558" s="36">
        <f t="shared" si="116"/>
        <v>2874.8</v>
      </c>
      <c r="I558" s="7">
        <f t="shared" si="127"/>
        <v>0</v>
      </c>
      <c r="J558" s="36">
        <f t="shared" si="114"/>
        <v>2874.8</v>
      </c>
      <c r="K558" s="7">
        <f t="shared" si="127"/>
        <v>0</v>
      </c>
      <c r="L558" s="36">
        <f t="shared" si="112"/>
        <v>2874.8</v>
      </c>
      <c r="M558" s="7">
        <f t="shared" si="127"/>
        <v>0</v>
      </c>
      <c r="N558" s="36">
        <f t="shared" si="113"/>
        <v>2874.8</v>
      </c>
      <c r="O558" s="7">
        <f t="shared" si="127"/>
        <v>0</v>
      </c>
      <c r="P558" s="36">
        <f t="shared" si="125"/>
        <v>2874.8</v>
      </c>
      <c r="Q558" s="7">
        <f t="shared" si="127"/>
        <v>0</v>
      </c>
      <c r="R558" s="36">
        <f t="shared" si="126"/>
        <v>2874.8</v>
      </c>
    </row>
    <row r="559" spans="1:18" ht="12.75">
      <c r="A559" s="62" t="str">
        <f ca="1">IF(ISERROR(MATCH(C559,Код_Раздел,0)),"",INDIRECT(ADDRESS(MATCH(C559,Код_Раздел,0)+1,2,,,"Раздел")))</f>
        <v>Национальная экономика</v>
      </c>
      <c r="B559" s="46" t="s">
        <v>569</v>
      </c>
      <c r="C559" s="8" t="s">
        <v>224</v>
      </c>
      <c r="D559" s="1"/>
      <c r="E559" s="115"/>
      <c r="F559" s="7">
        <f t="shared" si="127"/>
        <v>2874.8</v>
      </c>
      <c r="G559" s="7">
        <f t="shared" si="127"/>
        <v>0</v>
      </c>
      <c r="H559" s="36">
        <f t="shared" si="116"/>
        <v>2874.8</v>
      </c>
      <c r="I559" s="7">
        <f t="shared" si="127"/>
        <v>0</v>
      </c>
      <c r="J559" s="36">
        <f t="shared" si="114"/>
        <v>2874.8</v>
      </c>
      <c r="K559" s="7">
        <f t="shared" si="127"/>
        <v>0</v>
      </c>
      <c r="L559" s="36">
        <f t="shared" si="112"/>
        <v>2874.8</v>
      </c>
      <c r="M559" s="7">
        <f t="shared" si="127"/>
        <v>0</v>
      </c>
      <c r="N559" s="36">
        <f t="shared" si="113"/>
        <v>2874.8</v>
      </c>
      <c r="O559" s="7">
        <f t="shared" si="127"/>
        <v>0</v>
      </c>
      <c r="P559" s="36">
        <f t="shared" si="125"/>
        <v>2874.8</v>
      </c>
      <c r="Q559" s="7">
        <f t="shared" si="127"/>
        <v>0</v>
      </c>
      <c r="R559" s="36">
        <f t="shared" si="126"/>
        <v>2874.8</v>
      </c>
    </row>
    <row r="560" spans="1:18" ht="12.75">
      <c r="A560" s="12" t="s">
        <v>245</v>
      </c>
      <c r="B560" s="46" t="s">
        <v>569</v>
      </c>
      <c r="C560" s="8" t="s">
        <v>224</v>
      </c>
      <c r="D560" s="8" t="s">
        <v>204</v>
      </c>
      <c r="E560" s="115"/>
      <c r="F560" s="7">
        <f t="shared" si="127"/>
        <v>2874.8</v>
      </c>
      <c r="G560" s="7">
        <f t="shared" si="127"/>
        <v>0</v>
      </c>
      <c r="H560" s="36">
        <f t="shared" si="116"/>
        <v>2874.8</v>
      </c>
      <c r="I560" s="7">
        <f t="shared" si="127"/>
        <v>0</v>
      </c>
      <c r="J560" s="36">
        <f t="shared" si="114"/>
        <v>2874.8</v>
      </c>
      <c r="K560" s="7">
        <f t="shared" si="127"/>
        <v>0</v>
      </c>
      <c r="L560" s="36">
        <f t="shared" si="112"/>
        <v>2874.8</v>
      </c>
      <c r="M560" s="7">
        <f t="shared" si="127"/>
        <v>0</v>
      </c>
      <c r="N560" s="36">
        <f t="shared" si="113"/>
        <v>2874.8</v>
      </c>
      <c r="O560" s="7">
        <f t="shared" si="127"/>
        <v>0</v>
      </c>
      <c r="P560" s="36">
        <f t="shared" si="125"/>
        <v>2874.8</v>
      </c>
      <c r="Q560" s="7">
        <f t="shared" si="127"/>
        <v>0</v>
      </c>
      <c r="R560" s="36">
        <f t="shared" si="126"/>
        <v>2874.8</v>
      </c>
    </row>
    <row r="561" spans="1:18" ht="33">
      <c r="A561" s="62" t="str">
        <f ca="1">IF(ISERROR(MATCH(E561,Код_КВР,0)),"",INDIRECT(ADDRESS(MATCH(E561,Код_КВР,0)+1,2,,,"КВР")))</f>
        <v>Предоставление субсидий бюджетным, автономным учреждениям и иным некоммерческим организациям</v>
      </c>
      <c r="B561" s="46" t="s">
        <v>569</v>
      </c>
      <c r="C561" s="8" t="s">
        <v>224</v>
      </c>
      <c r="D561" s="8" t="s">
        <v>204</v>
      </c>
      <c r="E561" s="115">
        <v>600</v>
      </c>
      <c r="F561" s="7">
        <f t="shared" si="127"/>
        <v>2874.8</v>
      </c>
      <c r="G561" s="7">
        <f t="shared" si="127"/>
        <v>0</v>
      </c>
      <c r="H561" s="36">
        <f t="shared" si="116"/>
        <v>2874.8</v>
      </c>
      <c r="I561" s="7">
        <f t="shared" si="127"/>
        <v>0</v>
      </c>
      <c r="J561" s="36">
        <f t="shared" si="114"/>
        <v>2874.8</v>
      </c>
      <c r="K561" s="7">
        <f t="shared" si="127"/>
        <v>0</v>
      </c>
      <c r="L561" s="36">
        <f t="shared" si="112"/>
        <v>2874.8</v>
      </c>
      <c r="M561" s="7">
        <f t="shared" si="127"/>
        <v>0</v>
      </c>
      <c r="N561" s="36">
        <f t="shared" si="113"/>
        <v>2874.8</v>
      </c>
      <c r="O561" s="7">
        <f t="shared" si="127"/>
        <v>0</v>
      </c>
      <c r="P561" s="36">
        <f t="shared" si="125"/>
        <v>2874.8</v>
      </c>
      <c r="Q561" s="7">
        <f t="shared" si="127"/>
        <v>0</v>
      </c>
      <c r="R561" s="36">
        <f t="shared" si="126"/>
        <v>2874.8</v>
      </c>
    </row>
    <row r="562" spans="1:18" ht="33">
      <c r="A562" s="62" t="str">
        <f ca="1">IF(ISERROR(MATCH(E562,Код_КВР,0)),"",INDIRECT(ADDRESS(MATCH(E562,Код_КВР,0)+1,2,,,"КВР")))</f>
        <v>Субсидии некоммерческим организациям (за исключением государственных (муниципальных) учреждений)</v>
      </c>
      <c r="B562" s="46" t="s">
        <v>569</v>
      </c>
      <c r="C562" s="8" t="s">
        <v>224</v>
      </c>
      <c r="D562" s="8" t="s">
        <v>204</v>
      </c>
      <c r="E562" s="115">
        <v>630</v>
      </c>
      <c r="F562" s="7">
        <f>'прил.5'!G287</f>
        <v>2874.8</v>
      </c>
      <c r="G562" s="7">
        <f>'прил.5'!H287</f>
        <v>0</v>
      </c>
      <c r="H562" s="36">
        <f t="shared" si="116"/>
        <v>2874.8</v>
      </c>
      <c r="I562" s="7">
        <f>'прил.5'!J287</f>
        <v>0</v>
      </c>
      <c r="J562" s="36">
        <f t="shared" si="114"/>
        <v>2874.8</v>
      </c>
      <c r="K562" s="7">
        <f>'прил.5'!L287</f>
        <v>0</v>
      </c>
      <c r="L562" s="36">
        <f t="shared" si="112"/>
        <v>2874.8</v>
      </c>
      <c r="M562" s="7">
        <f>'прил.5'!N287</f>
        <v>0</v>
      </c>
      <c r="N562" s="36">
        <f t="shared" si="113"/>
        <v>2874.8</v>
      </c>
      <c r="O562" s="7">
        <f>'прил.5'!P287</f>
        <v>0</v>
      </c>
      <c r="P562" s="36">
        <f t="shared" si="125"/>
        <v>2874.8</v>
      </c>
      <c r="Q562" s="7">
        <f>'прил.5'!R287</f>
        <v>0</v>
      </c>
      <c r="R562" s="36">
        <f t="shared" si="126"/>
        <v>2874.8</v>
      </c>
    </row>
    <row r="563" spans="1:18" ht="12.75">
      <c r="A563" s="62" t="str">
        <f ca="1">IF(ISERROR(MATCH(B563,Код_КЦСР,0)),"",INDIRECT(ADDRESS(MATCH(B563,Код_КЦСР,0)+1,2,,,"КЦСР")))</f>
        <v>Комплексное сопровождение инвестиционных проектов</v>
      </c>
      <c r="B563" s="46" t="s">
        <v>571</v>
      </c>
      <c r="C563" s="8"/>
      <c r="D563" s="1"/>
      <c r="E563" s="115"/>
      <c r="F563" s="7">
        <f aca="true" t="shared" si="128" ref="F563:Q566">F564</f>
        <v>3366.5</v>
      </c>
      <c r="G563" s="7">
        <f t="shared" si="128"/>
        <v>0</v>
      </c>
      <c r="H563" s="36">
        <f t="shared" si="116"/>
        <v>3366.5</v>
      </c>
      <c r="I563" s="7">
        <f t="shared" si="128"/>
        <v>0</v>
      </c>
      <c r="J563" s="36">
        <f t="shared" si="114"/>
        <v>3366.5</v>
      </c>
      <c r="K563" s="7">
        <f t="shared" si="128"/>
        <v>0</v>
      </c>
      <c r="L563" s="36">
        <f t="shared" si="112"/>
        <v>3366.5</v>
      </c>
      <c r="M563" s="7">
        <f t="shared" si="128"/>
        <v>0</v>
      </c>
      <c r="N563" s="36">
        <f t="shared" si="113"/>
        <v>3366.5</v>
      </c>
      <c r="O563" s="7">
        <f t="shared" si="128"/>
        <v>0</v>
      </c>
      <c r="P563" s="36">
        <f t="shared" si="125"/>
        <v>3366.5</v>
      </c>
      <c r="Q563" s="7">
        <f t="shared" si="128"/>
        <v>0</v>
      </c>
      <c r="R563" s="36">
        <f t="shared" si="126"/>
        <v>3366.5</v>
      </c>
    </row>
    <row r="564" spans="1:18" ht="12.75">
      <c r="A564" s="62" t="str">
        <f ca="1">IF(ISERROR(MATCH(C564,Код_Раздел,0)),"",INDIRECT(ADDRESS(MATCH(C564,Код_Раздел,0)+1,2,,,"Раздел")))</f>
        <v>Национальная экономика</v>
      </c>
      <c r="B564" s="46" t="s">
        <v>571</v>
      </c>
      <c r="C564" s="8" t="s">
        <v>224</v>
      </c>
      <c r="D564" s="1"/>
      <c r="E564" s="115"/>
      <c r="F564" s="7">
        <f t="shared" si="128"/>
        <v>3366.5</v>
      </c>
      <c r="G564" s="7">
        <f t="shared" si="128"/>
        <v>0</v>
      </c>
      <c r="H564" s="36">
        <f t="shared" si="116"/>
        <v>3366.5</v>
      </c>
      <c r="I564" s="7">
        <f t="shared" si="128"/>
        <v>0</v>
      </c>
      <c r="J564" s="36">
        <f t="shared" si="114"/>
        <v>3366.5</v>
      </c>
      <c r="K564" s="7">
        <f t="shared" si="128"/>
        <v>0</v>
      </c>
      <c r="L564" s="36">
        <f aca="true" t="shared" si="129" ref="L564:L627">J564+K564</f>
        <v>3366.5</v>
      </c>
      <c r="M564" s="7">
        <f t="shared" si="128"/>
        <v>0</v>
      </c>
      <c r="N564" s="36">
        <f aca="true" t="shared" si="130" ref="N564:N627">L564+M564</f>
        <v>3366.5</v>
      </c>
      <c r="O564" s="7">
        <f t="shared" si="128"/>
        <v>0</v>
      </c>
      <c r="P564" s="36">
        <f t="shared" si="125"/>
        <v>3366.5</v>
      </c>
      <c r="Q564" s="7">
        <f t="shared" si="128"/>
        <v>0</v>
      </c>
      <c r="R564" s="36">
        <f t="shared" si="126"/>
        <v>3366.5</v>
      </c>
    </row>
    <row r="565" spans="1:18" ht="12.75">
      <c r="A565" s="12" t="s">
        <v>245</v>
      </c>
      <c r="B565" s="46" t="s">
        <v>571</v>
      </c>
      <c r="C565" s="8" t="s">
        <v>224</v>
      </c>
      <c r="D565" s="8" t="s">
        <v>204</v>
      </c>
      <c r="E565" s="115"/>
      <c r="F565" s="7">
        <f t="shared" si="128"/>
        <v>3366.5</v>
      </c>
      <c r="G565" s="7">
        <f t="shared" si="128"/>
        <v>0</v>
      </c>
      <c r="H565" s="36">
        <f t="shared" si="116"/>
        <v>3366.5</v>
      </c>
      <c r="I565" s="7">
        <f t="shared" si="128"/>
        <v>0</v>
      </c>
      <c r="J565" s="36">
        <f t="shared" si="114"/>
        <v>3366.5</v>
      </c>
      <c r="K565" s="7">
        <f t="shared" si="128"/>
        <v>0</v>
      </c>
      <c r="L565" s="36">
        <f t="shared" si="129"/>
        <v>3366.5</v>
      </c>
      <c r="M565" s="7">
        <f t="shared" si="128"/>
        <v>0</v>
      </c>
      <c r="N565" s="36">
        <f t="shared" si="130"/>
        <v>3366.5</v>
      </c>
      <c r="O565" s="7">
        <f t="shared" si="128"/>
        <v>0</v>
      </c>
      <c r="P565" s="36">
        <f t="shared" si="125"/>
        <v>3366.5</v>
      </c>
      <c r="Q565" s="7">
        <f t="shared" si="128"/>
        <v>0</v>
      </c>
      <c r="R565" s="36">
        <f t="shared" si="126"/>
        <v>3366.5</v>
      </c>
    </row>
    <row r="566" spans="1:18" ht="36.75" customHeight="1">
      <c r="A566" s="62" t="str">
        <f ca="1">IF(ISERROR(MATCH(E566,Код_КВР,0)),"",INDIRECT(ADDRESS(MATCH(E566,Код_КВР,0)+1,2,,,"КВР")))</f>
        <v>Предоставление субсидий бюджетным, автономным учреждениям и иным некоммерческим организациям</v>
      </c>
      <c r="B566" s="46" t="s">
        <v>571</v>
      </c>
      <c r="C566" s="8" t="s">
        <v>224</v>
      </c>
      <c r="D566" s="8" t="s">
        <v>204</v>
      </c>
      <c r="E566" s="115">
        <v>600</v>
      </c>
      <c r="F566" s="7">
        <f t="shared" si="128"/>
        <v>3366.5</v>
      </c>
      <c r="G566" s="7">
        <f t="shared" si="128"/>
        <v>0</v>
      </c>
      <c r="H566" s="36">
        <f t="shared" si="116"/>
        <v>3366.5</v>
      </c>
      <c r="I566" s="7">
        <f t="shared" si="128"/>
        <v>0</v>
      </c>
      <c r="J566" s="36">
        <f t="shared" si="114"/>
        <v>3366.5</v>
      </c>
      <c r="K566" s="7">
        <f t="shared" si="128"/>
        <v>0</v>
      </c>
      <c r="L566" s="36">
        <f t="shared" si="129"/>
        <v>3366.5</v>
      </c>
      <c r="M566" s="7">
        <f t="shared" si="128"/>
        <v>0</v>
      </c>
      <c r="N566" s="36">
        <f t="shared" si="130"/>
        <v>3366.5</v>
      </c>
      <c r="O566" s="7">
        <f t="shared" si="128"/>
        <v>0</v>
      </c>
      <c r="P566" s="36">
        <f t="shared" si="125"/>
        <v>3366.5</v>
      </c>
      <c r="Q566" s="7">
        <f t="shared" si="128"/>
        <v>0</v>
      </c>
      <c r="R566" s="36">
        <f t="shared" si="126"/>
        <v>3366.5</v>
      </c>
    </row>
    <row r="567" spans="1:18" ht="36" customHeight="1">
      <c r="A567" s="62" t="str">
        <f ca="1">IF(ISERROR(MATCH(E567,Код_КВР,0)),"",INDIRECT(ADDRESS(MATCH(E567,Код_КВР,0)+1,2,,,"КВР")))</f>
        <v>Субсидии некоммерческим организациям (за исключением государственных (муниципальных) учреждений)</v>
      </c>
      <c r="B567" s="46" t="s">
        <v>571</v>
      </c>
      <c r="C567" s="8" t="s">
        <v>224</v>
      </c>
      <c r="D567" s="8" t="s">
        <v>204</v>
      </c>
      <c r="E567" s="115">
        <v>630</v>
      </c>
      <c r="F567" s="7">
        <f>'прил.5'!G290</f>
        <v>3366.5</v>
      </c>
      <c r="G567" s="7">
        <f>'прил.5'!H290</f>
        <v>0</v>
      </c>
      <c r="H567" s="36">
        <f t="shared" si="116"/>
        <v>3366.5</v>
      </c>
      <c r="I567" s="7">
        <f>'прил.5'!J290</f>
        <v>0</v>
      </c>
      <c r="J567" s="36">
        <f aca="true" t="shared" si="131" ref="J567:J633">H567+I567</f>
        <v>3366.5</v>
      </c>
      <c r="K567" s="7">
        <f>'прил.5'!L290</f>
        <v>0</v>
      </c>
      <c r="L567" s="36">
        <f t="shared" si="129"/>
        <v>3366.5</v>
      </c>
      <c r="M567" s="7">
        <f>'прил.5'!N290</f>
        <v>0</v>
      </c>
      <c r="N567" s="36">
        <f t="shared" si="130"/>
        <v>3366.5</v>
      </c>
      <c r="O567" s="7">
        <f>'прил.5'!P290</f>
        <v>0</v>
      </c>
      <c r="P567" s="36">
        <f t="shared" si="125"/>
        <v>3366.5</v>
      </c>
      <c r="Q567" s="7">
        <f>'прил.5'!R290</f>
        <v>0</v>
      </c>
      <c r="R567" s="36">
        <f t="shared" si="126"/>
        <v>3366.5</v>
      </c>
    </row>
    <row r="568" spans="1:18" ht="35.25" customHeight="1">
      <c r="A568" s="62" t="str">
        <f ca="1">IF(ISERROR(MATCH(B568,Код_КЦСР,0)),"",INDIRECT(ADDRESS(MATCH(B568,Код_КЦСР,0)+1,2,,,"КЦСР")))</f>
        <v>Муниципальная программа «Развитие молодежной политики» на 2013-2018 годы</v>
      </c>
      <c r="B568" s="44" t="s">
        <v>573</v>
      </c>
      <c r="C568" s="8"/>
      <c r="D568" s="1"/>
      <c r="E568" s="115"/>
      <c r="F568" s="7">
        <f>F569+F575+F581</f>
        <v>9011.599999999999</v>
      </c>
      <c r="G568" s="7">
        <f>G569+G575+G581</f>
        <v>0</v>
      </c>
      <c r="H568" s="36">
        <f t="shared" si="116"/>
        <v>9011.599999999999</v>
      </c>
      <c r="I568" s="7">
        <f>I569+I575+I581</f>
        <v>0</v>
      </c>
      <c r="J568" s="36">
        <f t="shared" si="131"/>
        <v>9011.599999999999</v>
      </c>
      <c r="K568" s="7">
        <f>K569+K575+K581</f>
        <v>-100.6</v>
      </c>
      <c r="L568" s="36">
        <f t="shared" si="129"/>
        <v>8910.999999999998</v>
      </c>
      <c r="M568" s="7">
        <f>M569+M575+M581</f>
        <v>0</v>
      </c>
      <c r="N568" s="36">
        <f t="shared" si="130"/>
        <v>8910.999999999998</v>
      </c>
      <c r="O568" s="7">
        <f>O569+O575+O581</f>
        <v>0</v>
      </c>
      <c r="P568" s="36">
        <f t="shared" si="125"/>
        <v>8910.999999999998</v>
      </c>
      <c r="Q568" s="7">
        <f>Q569+Q575+Q581</f>
        <v>-17.4</v>
      </c>
      <c r="R568" s="36">
        <f t="shared" si="126"/>
        <v>8893.599999999999</v>
      </c>
    </row>
    <row r="569" spans="1:18" ht="36" customHeight="1">
      <c r="A569" s="62" t="str">
        <f ca="1">IF(ISERROR(MATCH(B569,Код_КЦСР,0)),"",INDIRECT(ADDRESS(MATCH(B569,Код_КЦСР,0)+1,2,,,"КЦСР")))</f>
        <v>Организация временного трудоустройства несовершеннолетних в возрасте от 14 до 18 лет</v>
      </c>
      <c r="B569" s="44" t="s">
        <v>575</v>
      </c>
      <c r="C569" s="8"/>
      <c r="D569" s="1"/>
      <c r="E569" s="115"/>
      <c r="F569" s="7">
        <f aca="true" t="shared" si="132" ref="F569:Q573">F570</f>
        <v>1338.9</v>
      </c>
      <c r="G569" s="7">
        <f t="shared" si="132"/>
        <v>0</v>
      </c>
      <c r="H569" s="36">
        <f t="shared" si="116"/>
        <v>1338.9</v>
      </c>
      <c r="I569" s="7">
        <f t="shared" si="132"/>
        <v>0</v>
      </c>
      <c r="J569" s="36">
        <f t="shared" si="131"/>
        <v>1338.9</v>
      </c>
      <c r="K569" s="7">
        <f t="shared" si="132"/>
        <v>0</v>
      </c>
      <c r="L569" s="36">
        <f t="shared" si="129"/>
        <v>1338.9</v>
      </c>
      <c r="M569" s="7">
        <f t="shared" si="132"/>
        <v>0</v>
      </c>
      <c r="N569" s="36">
        <f t="shared" si="130"/>
        <v>1338.9</v>
      </c>
      <c r="O569" s="7">
        <f t="shared" si="132"/>
        <v>0</v>
      </c>
      <c r="P569" s="36">
        <f t="shared" si="125"/>
        <v>1338.9</v>
      </c>
      <c r="Q569" s="7">
        <f t="shared" si="132"/>
        <v>-17.4</v>
      </c>
      <c r="R569" s="36">
        <f t="shared" si="126"/>
        <v>1321.5</v>
      </c>
    </row>
    <row r="570" spans="1:18" ht="20.25" customHeight="1">
      <c r="A570" s="62" t="str">
        <f ca="1">IF(ISERROR(MATCH(C570,Код_Раздел,0)),"",INDIRECT(ADDRESS(MATCH(C570,Код_Раздел,0)+1,2,,,"Раздел")))</f>
        <v>Национальная экономика</v>
      </c>
      <c r="B570" s="44" t="s">
        <v>575</v>
      </c>
      <c r="C570" s="8" t="s">
        <v>224</v>
      </c>
      <c r="D570" s="1"/>
      <c r="E570" s="115"/>
      <c r="F570" s="7">
        <f t="shared" si="132"/>
        <v>1338.9</v>
      </c>
      <c r="G570" s="7">
        <f t="shared" si="132"/>
        <v>0</v>
      </c>
      <c r="H570" s="36">
        <f t="shared" si="116"/>
        <v>1338.9</v>
      </c>
      <c r="I570" s="7">
        <f t="shared" si="132"/>
        <v>0</v>
      </c>
      <c r="J570" s="36">
        <f t="shared" si="131"/>
        <v>1338.9</v>
      </c>
      <c r="K570" s="7">
        <f t="shared" si="132"/>
        <v>0</v>
      </c>
      <c r="L570" s="36">
        <f t="shared" si="129"/>
        <v>1338.9</v>
      </c>
      <c r="M570" s="7">
        <f t="shared" si="132"/>
        <v>0</v>
      </c>
      <c r="N570" s="36">
        <f t="shared" si="130"/>
        <v>1338.9</v>
      </c>
      <c r="O570" s="7">
        <f t="shared" si="132"/>
        <v>0</v>
      </c>
      <c r="P570" s="36">
        <f t="shared" si="125"/>
        <v>1338.9</v>
      </c>
      <c r="Q570" s="7">
        <f t="shared" si="132"/>
        <v>-17.4</v>
      </c>
      <c r="R570" s="36">
        <f t="shared" si="126"/>
        <v>1321.5</v>
      </c>
    </row>
    <row r="571" spans="1:18" ht="18.75" customHeight="1">
      <c r="A571" s="78" t="s">
        <v>211</v>
      </c>
      <c r="B571" s="44" t="s">
        <v>575</v>
      </c>
      <c r="C571" s="8" t="s">
        <v>224</v>
      </c>
      <c r="D571" s="1" t="s">
        <v>221</v>
      </c>
      <c r="E571" s="115"/>
      <c r="F571" s="7">
        <f t="shared" si="132"/>
        <v>1338.9</v>
      </c>
      <c r="G571" s="7">
        <f t="shared" si="132"/>
        <v>0</v>
      </c>
      <c r="H571" s="36">
        <f t="shared" si="116"/>
        <v>1338.9</v>
      </c>
      <c r="I571" s="7">
        <f t="shared" si="132"/>
        <v>0</v>
      </c>
      <c r="J571" s="36">
        <f t="shared" si="131"/>
        <v>1338.9</v>
      </c>
      <c r="K571" s="7">
        <f t="shared" si="132"/>
        <v>0</v>
      </c>
      <c r="L571" s="36">
        <f t="shared" si="129"/>
        <v>1338.9</v>
      </c>
      <c r="M571" s="7">
        <f t="shared" si="132"/>
        <v>0</v>
      </c>
      <c r="N571" s="36">
        <f t="shared" si="130"/>
        <v>1338.9</v>
      </c>
      <c r="O571" s="7">
        <f t="shared" si="132"/>
        <v>0</v>
      </c>
      <c r="P571" s="36">
        <f t="shared" si="125"/>
        <v>1338.9</v>
      </c>
      <c r="Q571" s="7">
        <f t="shared" si="132"/>
        <v>-17.4</v>
      </c>
      <c r="R571" s="36">
        <f t="shared" si="126"/>
        <v>1321.5</v>
      </c>
    </row>
    <row r="572" spans="1:18" ht="33">
      <c r="A572" s="62" t="str">
        <f ca="1">IF(ISERROR(MATCH(E572,Код_КВР,0)),"",INDIRECT(ADDRESS(MATCH(E572,Код_КВР,0)+1,2,,,"КВР")))</f>
        <v>Предоставление субсидий бюджетным, автономным учреждениям и иным некоммерческим организациям</v>
      </c>
      <c r="B572" s="44" t="s">
        <v>575</v>
      </c>
      <c r="C572" s="8" t="s">
        <v>224</v>
      </c>
      <c r="D572" s="1" t="s">
        <v>221</v>
      </c>
      <c r="E572" s="115">
        <v>600</v>
      </c>
      <c r="F572" s="7">
        <f t="shared" si="132"/>
        <v>1338.9</v>
      </c>
      <c r="G572" s="7">
        <f t="shared" si="132"/>
        <v>0</v>
      </c>
      <c r="H572" s="36">
        <f t="shared" si="116"/>
        <v>1338.9</v>
      </c>
      <c r="I572" s="7">
        <f t="shared" si="132"/>
        <v>0</v>
      </c>
      <c r="J572" s="36">
        <f t="shared" si="131"/>
        <v>1338.9</v>
      </c>
      <c r="K572" s="7">
        <f t="shared" si="132"/>
        <v>0</v>
      </c>
      <c r="L572" s="36">
        <f t="shared" si="129"/>
        <v>1338.9</v>
      </c>
      <c r="M572" s="7">
        <f t="shared" si="132"/>
        <v>0</v>
      </c>
      <c r="N572" s="36">
        <f t="shared" si="130"/>
        <v>1338.9</v>
      </c>
      <c r="O572" s="7">
        <f t="shared" si="132"/>
        <v>0</v>
      </c>
      <c r="P572" s="36">
        <f t="shared" si="125"/>
        <v>1338.9</v>
      </c>
      <c r="Q572" s="7">
        <f t="shared" si="132"/>
        <v>-17.4</v>
      </c>
      <c r="R572" s="36">
        <f t="shared" si="126"/>
        <v>1321.5</v>
      </c>
    </row>
    <row r="573" spans="1:18" ht="12.75">
      <c r="A573" s="62" t="str">
        <f ca="1">IF(ISERROR(MATCH(E573,Код_КВР,0)),"",INDIRECT(ADDRESS(MATCH(E573,Код_КВР,0)+1,2,,,"КВР")))</f>
        <v>Субсидии бюджетным учреждениям</v>
      </c>
      <c r="B573" s="44" t="s">
        <v>575</v>
      </c>
      <c r="C573" s="8" t="s">
        <v>224</v>
      </c>
      <c r="D573" s="1" t="s">
        <v>221</v>
      </c>
      <c r="E573" s="115">
        <v>610</v>
      </c>
      <c r="F573" s="7">
        <f t="shared" si="132"/>
        <v>1338.9</v>
      </c>
      <c r="G573" s="7">
        <f t="shared" si="132"/>
        <v>0</v>
      </c>
      <c r="H573" s="36">
        <f t="shared" si="116"/>
        <v>1338.9</v>
      </c>
      <c r="I573" s="7">
        <f t="shared" si="132"/>
        <v>0</v>
      </c>
      <c r="J573" s="36">
        <f t="shared" si="131"/>
        <v>1338.9</v>
      </c>
      <c r="K573" s="7">
        <f t="shared" si="132"/>
        <v>0</v>
      </c>
      <c r="L573" s="36">
        <f t="shared" si="129"/>
        <v>1338.9</v>
      </c>
      <c r="M573" s="7">
        <f t="shared" si="132"/>
        <v>0</v>
      </c>
      <c r="N573" s="36">
        <f t="shared" si="130"/>
        <v>1338.9</v>
      </c>
      <c r="O573" s="7">
        <f t="shared" si="132"/>
        <v>0</v>
      </c>
      <c r="P573" s="36">
        <f t="shared" si="125"/>
        <v>1338.9</v>
      </c>
      <c r="Q573" s="7">
        <f t="shared" si="132"/>
        <v>-17.4</v>
      </c>
      <c r="R573" s="36">
        <f t="shared" si="126"/>
        <v>1321.5</v>
      </c>
    </row>
    <row r="574" spans="1:18" ht="49.5">
      <c r="A574" s="62" t="str">
        <f ca="1">IF(ISERROR(MATCH(E574,Код_КВР,0)),"",INDIRECT(ADDRESS(MATCH(E574,Код_КВР,0)+1,2,,,"КВР")))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4" s="44" t="s">
        <v>575</v>
      </c>
      <c r="C574" s="8" t="s">
        <v>224</v>
      </c>
      <c r="D574" s="1" t="s">
        <v>221</v>
      </c>
      <c r="E574" s="115">
        <v>611</v>
      </c>
      <c r="F574" s="7">
        <f>'прил.5'!G232</f>
        <v>1338.9</v>
      </c>
      <c r="G574" s="7">
        <f>'прил.5'!H232</f>
        <v>0</v>
      </c>
      <c r="H574" s="36">
        <f t="shared" si="116"/>
        <v>1338.9</v>
      </c>
      <c r="I574" s="7">
        <f>'прил.5'!J232</f>
        <v>0</v>
      </c>
      <c r="J574" s="36">
        <f t="shared" si="131"/>
        <v>1338.9</v>
      </c>
      <c r="K574" s="7">
        <f>'прил.5'!L232</f>
        <v>0</v>
      </c>
      <c r="L574" s="36">
        <f t="shared" si="129"/>
        <v>1338.9</v>
      </c>
      <c r="M574" s="7">
        <f>'прил.5'!N232</f>
        <v>0</v>
      </c>
      <c r="N574" s="36">
        <f t="shared" si="130"/>
        <v>1338.9</v>
      </c>
      <c r="O574" s="7">
        <f>'прил.5'!P232</f>
        <v>0</v>
      </c>
      <c r="P574" s="36">
        <f t="shared" si="125"/>
        <v>1338.9</v>
      </c>
      <c r="Q574" s="7">
        <f>'прил.5'!R232</f>
        <v>-17.4</v>
      </c>
      <c r="R574" s="36">
        <f t="shared" si="126"/>
        <v>1321.5</v>
      </c>
    </row>
    <row r="575" spans="1:18" ht="70.7" customHeight="1">
      <c r="A575" s="62" t="str">
        <f ca="1">IF(ISERROR(MATCH(B575,Код_КЦСР,0)),"",INDIRECT(ADDRESS(MATCH(B575,Код_КЦСР,0)+1,2,,,"КЦСР")))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575" s="44" t="s">
        <v>577</v>
      </c>
      <c r="C575" s="8"/>
      <c r="D575" s="1"/>
      <c r="E575" s="115"/>
      <c r="F575" s="7">
        <f aca="true" t="shared" si="133" ref="F575:Q579">F576</f>
        <v>844.8</v>
      </c>
      <c r="G575" s="7">
        <f t="shared" si="133"/>
        <v>0</v>
      </c>
      <c r="H575" s="36">
        <f aca="true" t="shared" si="134" ref="H575:H641">F575+G575</f>
        <v>844.8</v>
      </c>
      <c r="I575" s="7">
        <f t="shared" si="133"/>
        <v>0</v>
      </c>
      <c r="J575" s="36">
        <f t="shared" si="131"/>
        <v>844.8</v>
      </c>
      <c r="K575" s="7">
        <f t="shared" si="133"/>
        <v>0</v>
      </c>
      <c r="L575" s="36">
        <f t="shared" si="129"/>
        <v>844.8</v>
      </c>
      <c r="M575" s="7">
        <f t="shared" si="133"/>
        <v>0</v>
      </c>
      <c r="N575" s="36">
        <f t="shared" si="130"/>
        <v>844.8</v>
      </c>
      <c r="O575" s="7">
        <f t="shared" si="133"/>
        <v>0</v>
      </c>
      <c r="P575" s="36">
        <f t="shared" si="125"/>
        <v>844.8</v>
      </c>
      <c r="Q575" s="7">
        <f t="shared" si="133"/>
        <v>0</v>
      </c>
      <c r="R575" s="36">
        <f t="shared" si="126"/>
        <v>844.8</v>
      </c>
    </row>
    <row r="576" spans="1:18" ht="12.75">
      <c r="A576" s="62" t="str">
        <f ca="1">IF(ISERROR(MATCH(C576,Код_Раздел,0)),"",INDIRECT(ADDRESS(MATCH(C576,Код_Раздел,0)+1,2,,,"Раздел")))</f>
        <v>Образование</v>
      </c>
      <c r="B576" s="44" t="s">
        <v>577</v>
      </c>
      <c r="C576" s="8" t="s">
        <v>203</v>
      </c>
      <c r="D576" s="1"/>
      <c r="E576" s="115"/>
      <c r="F576" s="7">
        <f t="shared" si="133"/>
        <v>844.8</v>
      </c>
      <c r="G576" s="7">
        <f t="shared" si="133"/>
        <v>0</v>
      </c>
      <c r="H576" s="36">
        <f t="shared" si="134"/>
        <v>844.8</v>
      </c>
      <c r="I576" s="7">
        <f t="shared" si="133"/>
        <v>0</v>
      </c>
      <c r="J576" s="36">
        <f t="shared" si="131"/>
        <v>844.8</v>
      </c>
      <c r="K576" s="7">
        <f t="shared" si="133"/>
        <v>0</v>
      </c>
      <c r="L576" s="36">
        <f t="shared" si="129"/>
        <v>844.8</v>
      </c>
      <c r="M576" s="7">
        <f t="shared" si="133"/>
        <v>0</v>
      </c>
      <c r="N576" s="36">
        <f t="shared" si="130"/>
        <v>844.8</v>
      </c>
      <c r="O576" s="7">
        <f t="shared" si="133"/>
        <v>0</v>
      </c>
      <c r="P576" s="36">
        <f t="shared" si="125"/>
        <v>844.8</v>
      </c>
      <c r="Q576" s="7">
        <f t="shared" si="133"/>
        <v>0</v>
      </c>
      <c r="R576" s="36">
        <f t="shared" si="126"/>
        <v>844.8</v>
      </c>
    </row>
    <row r="577" spans="1:18" ht="12.75">
      <c r="A577" s="12" t="s">
        <v>207</v>
      </c>
      <c r="B577" s="44" t="s">
        <v>577</v>
      </c>
      <c r="C577" s="8" t="s">
        <v>203</v>
      </c>
      <c r="D577" s="1" t="s">
        <v>203</v>
      </c>
      <c r="E577" s="115"/>
      <c r="F577" s="7">
        <f t="shared" si="133"/>
        <v>844.8</v>
      </c>
      <c r="G577" s="7">
        <f t="shared" si="133"/>
        <v>0</v>
      </c>
      <c r="H577" s="36">
        <f t="shared" si="134"/>
        <v>844.8</v>
      </c>
      <c r="I577" s="7">
        <f t="shared" si="133"/>
        <v>0</v>
      </c>
      <c r="J577" s="36">
        <f t="shared" si="131"/>
        <v>844.8</v>
      </c>
      <c r="K577" s="7">
        <f t="shared" si="133"/>
        <v>0</v>
      </c>
      <c r="L577" s="36">
        <f t="shared" si="129"/>
        <v>844.8</v>
      </c>
      <c r="M577" s="7">
        <f t="shared" si="133"/>
        <v>0</v>
      </c>
      <c r="N577" s="36">
        <f t="shared" si="130"/>
        <v>844.8</v>
      </c>
      <c r="O577" s="7">
        <f t="shared" si="133"/>
        <v>0</v>
      </c>
      <c r="P577" s="36">
        <f t="shared" si="125"/>
        <v>844.8</v>
      </c>
      <c r="Q577" s="7">
        <f t="shared" si="133"/>
        <v>0</v>
      </c>
      <c r="R577" s="36">
        <f t="shared" si="126"/>
        <v>844.8</v>
      </c>
    </row>
    <row r="578" spans="1:18" ht="36.75" customHeight="1">
      <c r="A578" s="62" t="str">
        <f ca="1">IF(ISERROR(MATCH(E578,Код_КВР,0)),"",INDIRECT(ADDRESS(MATCH(E578,Код_КВР,0)+1,2,,,"КВР")))</f>
        <v>Предоставление субсидий бюджетным, автономным учреждениям и иным некоммерческим организациям</v>
      </c>
      <c r="B578" s="44" t="s">
        <v>577</v>
      </c>
      <c r="C578" s="8" t="s">
        <v>203</v>
      </c>
      <c r="D578" s="1" t="s">
        <v>203</v>
      </c>
      <c r="E578" s="115">
        <v>600</v>
      </c>
      <c r="F578" s="7">
        <f t="shared" si="133"/>
        <v>844.8</v>
      </c>
      <c r="G578" s="7">
        <f t="shared" si="133"/>
        <v>0</v>
      </c>
      <c r="H578" s="36">
        <f t="shared" si="134"/>
        <v>844.8</v>
      </c>
      <c r="I578" s="7">
        <f t="shared" si="133"/>
        <v>0</v>
      </c>
      <c r="J578" s="36">
        <f t="shared" si="131"/>
        <v>844.8</v>
      </c>
      <c r="K578" s="7">
        <f t="shared" si="133"/>
        <v>0</v>
      </c>
      <c r="L578" s="36">
        <f t="shared" si="129"/>
        <v>844.8</v>
      </c>
      <c r="M578" s="7">
        <f t="shared" si="133"/>
        <v>0</v>
      </c>
      <c r="N578" s="36">
        <f t="shared" si="130"/>
        <v>844.8</v>
      </c>
      <c r="O578" s="7">
        <f t="shared" si="133"/>
        <v>0</v>
      </c>
      <c r="P578" s="36">
        <f t="shared" si="125"/>
        <v>844.8</v>
      </c>
      <c r="Q578" s="7">
        <f t="shared" si="133"/>
        <v>0</v>
      </c>
      <c r="R578" s="36">
        <f t="shared" si="126"/>
        <v>844.8</v>
      </c>
    </row>
    <row r="579" spans="1:18" ht="20.25" customHeight="1">
      <c r="A579" s="62" t="str">
        <f ca="1">IF(ISERROR(MATCH(E579,Код_КВР,0)),"",INDIRECT(ADDRESS(MATCH(E579,Код_КВР,0)+1,2,,,"КВР")))</f>
        <v>Субсидии бюджетным учреждениям</v>
      </c>
      <c r="B579" s="44" t="s">
        <v>577</v>
      </c>
      <c r="C579" s="8" t="s">
        <v>203</v>
      </c>
      <c r="D579" s="1" t="s">
        <v>203</v>
      </c>
      <c r="E579" s="115">
        <v>610</v>
      </c>
      <c r="F579" s="7">
        <f t="shared" si="133"/>
        <v>844.8</v>
      </c>
      <c r="G579" s="7">
        <f t="shared" si="133"/>
        <v>0</v>
      </c>
      <c r="H579" s="36">
        <f t="shared" si="134"/>
        <v>844.8</v>
      </c>
      <c r="I579" s="7">
        <f t="shared" si="133"/>
        <v>0</v>
      </c>
      <c r="J579" s="36">
        <f t="shared" si="131"/>
        <v>844.8</v>
      </c>
      <c r="K579" s="7">
        <f t="shared" si="133"/>
        <v>0</v>
      </c>
      <c r="L579" s="36">
        <f t="shared" si="129"/>
        <v>844.8</v>
      </c>
      <c r="M579" s="7">
        <f t="shared" si="133"/>
        <v>0</v>
      </c>
      <c r="N579" s="36">
        <f t="shared" si="130"/>
        <v>844.8</v>
      </c>
      <c r="O579" s="7">
        <f t="shared" si="133"/>
        <v>0</v>
      </c>
      <c r="P579" s="36">
        <f t="shared" si="125"/>
        <v>844.8</v>
      </c>
      <c r="Q579" s="7">
        <f t="shared" si="133"/>
        <v>0</v>
      </c>
      <c r="R579" s="36">
        <f t="shared" si="126"/>
        <v>844.8</v>
      </c>
    </row>
    <row r="580" spans="1:18" ht="53.25" customHeight="1">
      <c r="A580" s="62" t="str">
        <f ca="1">IF(ISERROR(MATCH(E580,Код_КВР,0)),"",INDIRECT(ADDRESS(MATCH(E580,Код_КВР,0)+1,2,,,"КВР")))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0" s="44" t="s">
        <v>577</v>
      </c>
      <c r="C580" s="8" t="s">
        <v>203</v>
      </c>
      <c r="D580" s="1" t="s">
        <v>203</v>
      </c>
      <c r="E580" s="115">
        <v>611</v>
      </c>
      <c r="F580" s="7">
        <f>'прил.5'!G302</f>
        <v>844.8</v>
      </c>
      <c r="G580" s="7">
        <f>'прил.5'!H302</f>
        <v>0</v>
      </c>
      <c r="H580" s="36">
        <f t="shared" si="134"/>
        <v>844.8</v>
      </c>
      <c r="I580" s="7">
        <f>'прил.5'!J302</f>
        <v>0</v>
      </c>
      <c r="J580" s="36">
        <f t="shared" si="131"/>
        <v>844.8</v>
      </c>
      <c r="K580" s="7">
        <f>'прил.5'!L302</f>
        <v>0</v>
      </c>
      <c r="L580" s="36">
        <f t="shared" si="129"/>
        <v>844.8</v>
      </c>
      <c r="M580" s="7">
        <f>'прил.5'!N302</f>
        <v>0</v>
      </c>
      <c r="N580" s="36">
        <f t="shared" si="130"/>
        <v>844.8</v>
      </c>
      <c r="O580" s="7">
        <f>'прил.5'!P302</f>
        <v>0</v>
      </c>
      <c r="P580" s="36">
        <f t="shared" si="125"/>
        <v>844.8</v>
      </c>
      <c r="Q580" s="7">
        <f>'прил.5'!R302</f>
        <v>0</v>
      </c>
      <c r="R580" s="36">
        <f t="shared" si="126"/>
        <v>844.8</v>
      </c>
    </row>
    <row r="581" spans="1:18" ht="69.75" customHeight="1">
      <c r="A581" s="62" t="str">
        <f ca="1">IF(ISERROR(MATCH(B581,Код_КЦСР,0)),"",INDIRECT(ADDRESS(MATCH(B581,Код_КЦСР,0)+1,2,,,"КЦСР")))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581" s="44" t="s">
        <v>578</v>
      </c>
      <c r="C581" s="8"/>
      <c r="D581" s="1"/>
      <c r="E581" s="115"/>
      <c r="F581" s="7">
        <f aca="true" t="shared" si="135" ref="F581:Q585">F582</f>
        <v>6827.9</v>
      </c>
      <c r="G581" s="7">
        <f t="shared" si="135"/>
        <v>0</v>
      </c>
      <c r="H581" s="36">
        <f t="shared" si="134"/>
        <v>6827.9</v>
      </c>
      <c r="I581" s="7">
        <f t="shared" si="135"/>
        <v>0</v>
      </c>
      <c r="J581" s="36">
        <f t="shared" si="131"/>
        <v>6827.9</v>
      </c>
      <c r="K581" s="7">
        <f t="shared" si="135"/>
        <v>-100.6</v>
      </c>
      <c r="L581" s="36">
        <f t="shared" si="129"/>
        <v>6727.299999999999</v>
      </c>
      <c r="M581" s="7">
        <f t="shared" si="135"/>
        <v>0</v>
      </c>
      <c r="N581" s="36">
        <f t="shared" si="130"/>
        <v>6727.299999999999</v>
      </c>
      <c r="O581" s="7">
        <f t="shared" si="135"/>
        <v>0</v>
      </c>
      <c r="P581" s="36">
        <f t="shared" si="125"/>
        <v>6727.299999999999</v>
      </c>
      <c r="Q581" s="7">
        <f t="shared" si="135"/>
        <v>0</v>
      </c>
      <c r="R581" s="36">
        <f t="shared" si="126"/>
        <v>6727.299999999999</v>
      </c>
    </row>
    <row r="582" spans="1:18" ht="12.75">
      <c r="A582" s="62" t="str">
        <f ca="1">IF(ISERROR(MATCH(C582,Код_Раздел,0)),"",INDIRECT(ADDRESS(MATCH(C582,Код_Раздел,0)+1,2,,,"Раздел")))</f>
        <v>Образование</v>
      </c>
      <c r="B582" s="44" t="s">
        <v>578</v>
      </c>
      <c r="C582" s="8" t="s">
        <v>203</v>
      </c>
      <c r="D582" s="1"/>
      <c r="E582" s="115"/>
      <c r="F582" s="7">
        <f t="shared" si="135"/>
        <v>6827.9</v>
      </c>
      <c r="G582" s="7">
        <f t="shared" si="135"/>
        <v>0</v>
      </c>
      <c r="H582" s="36">
        <f t="shared" si="134"/>
        <v>6827.9</v>
      </c>
      <c r="I582" s="7">
        <f t="shared" si="135"/>
        <v>0</v>
      </c>
      <c r="J582" s="36">
        <f t="shared" si="131"/>
        <v>6827.9</v>
      </c>
      <c r="K582" s="7">
        <f t="shared" si="135"/>
        <v>-100.6</v>
      </c>
      <c r="L582" s="36">
        <f t="shared" si="129"/>
        <v>6727.299999999999</v>
      </c>
      <c r="M582" s="7">
        <f t="shared" si="135"/>
        <v>0</v>
      </c>
      <c r="N582" s="36">
        <f t="shared" si="130"/>
        <v>6727.299999999999</v>
      </c>
      <c r="O582" s="7">
        <f t="shared" si="135"/>
        <v>0</v>
      </c>
      <c r="P582" s="36">
        <f t="shared" si="125"/>
        <v>6727.299999999999</v>
      </c>
      <c r="Q582" s="7">
        <f t="shared" si="135"/>
        <v>0</v>
      </c>
      <c r="R582" s="36">
        <f t="shared" si="126"/>
        <v>6727.299999999999</v>
      </c>
    </row>
    <row r="583" spans="1:18" ht="12.75">
      <c r="A583" s="12" t="s">
        <v>207</v>
      </c>
      <c r="B583" s="44" t="s">
        <v>578</v>
      </c>
      <c r="C583" s="8" t="s">
        <v>203</v>
      </c>
      <c r="D583" s="1" t="s">
        <v>203</v>
      </c>
      <c r="E583" s="115"/>
      <c r="F583" s="7">
        <f t="shared" si="135"/>
        <v>6827.9</v>
      </c>
      <c r="G583" s="7">
        <f t="shared" si="135"/>
        <v>0</v>
      </c>
      <c r="H583" s="36">
        <f t="shared" si="134"/>
        <v>6827.9</v>
      </c>
      <c r="I583" s="7">
        <f t="shared" si="135"/>
        <v>0</v>
      </c>
      <c r="J583" s="36">
        <f t="shared" si="131"/>
        <v>6827.9</v>
      </c>
      <c r="K583" s="7">
        <f t="shared" si="135"/>
        <v>-100.6</v>
      </c>
      <c r="L583" s="36">
        <f t="shared" si="129"/>
        <v>6727.299999999999</v>
      </c>
      <c r="M583" s="7">
        <f t="shared" si="135"/>
        <v>0</v>
      </c>
      <c r="N583" s="36">
        <f t="shared" si="130"/>
        <v>6727.299999999999</v>
      </c>
      <c r="O583" s="7">
        <f t="shared" si="135"/>
        <v>0</v>
      </c>
      <c r="P583" s="36">
        <f t="shared" si="125"/>
        <v>6727.299999999999</v>
      </c>
      <c r="Q583" s="7">
        <f t="shared" si="135"/>
        <v>0</v>
      </c>
      <c r="R583" s="36">
        <f t="shared" si="126"/>
        <v>6727.299999999999</v>
      </c>
    </row>
    <row r="584" spans="1:18" ht="36" customHeight="1">
      <c r="A584" s="62" t="str">
        <f ca="1">IF(ISERROR(MATCH(E584,Код_КВР,0)),"",INDIRECT(ADDRESS(MATCH(E584,Код_КВР,0)+1,2,,,"КВР")))</f>
        <v>Предоставление субсидий бюджетным, автономным учреждениям и иным некоммерческим организациям</v>
      </c>
      <c r="B584" s="44" t="s">
        <v>578</v>
      </c>
      <c r="C584" s="8" t="s">
        <v>203</v>
      </c>
      <c r="D584" s="1" t="s">
        <v>203</v>
      </c>
      <c r="E584" s="115">
        <v>600</v>
      </c>
      <c r="F584" s="7">
        <f t="shared" si="135"/>
        <v>6827.9</v>
      </c>
      <c r="G584" s="7">
        <f t="shared" si="135"/>
        <v>0</v>
      </c>
      <c r="H584" s="36">
        <f t="shared" si="134"/>
        <v>6827.9</v>
      </c>
      <c r="I584" s="7">
        <f t="shared" si="135"/>
        <v>0</v>
      </c>
      <c r="J584" s="36">
        <f t="shared" si="131"/>
        <v>6827.9</v>
      </c>
      <c r="K584" s="7">
        <f t="shared" si="135"/>
        <v>-100.6</v>
      </c>
      <c r="L584" s="36">
        <f t="shared" si="129"/>
        <v>6727.299999999999</v>
      </c>
      <c r="M584" s="7">
        <f t="shared" si="135"/>
        <v>0</v>
      </c>
      <c r="N584" s="36">
        <f t="shared" si="130"/>
        <v>6727.299999999999</v>
      </c>
      <c r="O584" s="7">
        <f t="shared" si="135"/>
        <v>0</v>
      </c>
      <c r="P584" s="36">
        <f t="shared" si="125"/>
        <v>6727.299999999999</v>
      </c>
      <c r="Q584" s="7">
        <f t="shared" si="135"/>
        <v>0</v>
      </c>
      <c r="R584" s="36">
        <f t="shared" si="126"/>
        <v>6727.299999999999</v>
      </c>
    </row>
    <row r="585" spans="1:18" ht="18.75" customHeight="1">
      <c r="A585" s="62" t="str">
        <f ca="1">IF(ISERROR(MATCH(E585,Код_КВР,0)),"",INDIRECT(ADDRESS(MATCH(E585,Код_КВР,0)+1,2,,,"КВР")))</f>
        <v>Субсидии бюджетным учреждениям</v>
      </c>
      <c r="B585" s="44" t="s">
        <v>578</v>
      </c>
      <c r="C585" s="8" t="s">
        <v>203</v>
      </c>
      <c r="D585" s="1" t="s">
        <v>203</v>
      </c>
      <c r="E585" s="115">
        <v>610</v>
      </c>
      <c r="F585" s="7">
        <f t="shared" si="135"/>
        <v>6827.9</v>
      </c>
      <c r="G585" s="7">
        <f t="shared" si="135"/>
        <v>0</v>
      </c>
      <c r="H585" s="36">
        <f t="shared" si="134"/>
        <v>6827.9</v>
      </c>
      <c r="I585" s="7">
        <f t="shared" si="135"/>
        <v>0</v>
      </c>
      <c r="J585" s="36">
        <f t="shared" si="131"/>
        <v>6827.9</v>
      </c>
      <c r="K585" s="7">
        <f t="shared" si="135"/>
        <v>-100.6</v>
      </c>
      <c r="L585" s="36">
        <f t="shared" si="129"/>
        <v>6727.299999999999</v>
      </c>
      <c r="M585" s="7">
        <f t="shared" si="135"/>
        <v>0</v>
      </c>
      <c r="N585" s="36">
        <f t="shared" si="130"/>
        <v>6727.299999999999</v>
      </c>
      <c r="O585" s="7">
        <f t="shared" si="135"/>
        <v>0</v>
      </c>
      <c r="P585" s="36">
        <f t="shared" si="125"/>
        <v>6727.299999999999</v>
      </c>
      <c r="Q585" s="7">
        <f t="shared" si="135"/>
        <v>0</v>
      </c>
      <c r="R585" s="36">
        <f t="shared" si="126"/>
        <v>6727.299999999999</v>
      </c>
    </row>
    <row r="586" spans="1:18" ht="54" customHeight="1">
      <c r="A586" s="62" t="str">
        <f ca="1">IF(ISERROR(MATCH(E586,Код_КВР,0)),"",INDIRECT(ADDRESS(MATCH(E586,Код_КВР,0)+1,2,,,"КВР")))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6" s="44" t="s">
        <v>578</v>
      </c>
      <c r="C586" s="8" t="s">
        <v>203</v>
      </c>
      <c r="D586" s="1" t="s">
        <v>203</v>
      </c>
      <c r="E586" s="115">
        <v>611</v>
      </c>
      <c r="F586" s="7">
        <f>'прил.5'!G306</f>
        <v>6827.9</v>
      </c>
      <c r="G586" s="7">
        <f>'прил.5'!H306</f>
        <v>0</v>
      </c>
      <c r="H586" s="36">
        <f t="shared" si="134"/>
        <v>6827.9</v>
      </c>
      <c r="I586" s="7">
        <f>'прил.5'!J306</f>
        <v>0</v>
      </c>
      <c r="J586" s="36">
        <f t="shared" si="131"/>
        <v>6827.9</v>
      </c>
      <c r="K586" s="7">
        <f>'прил.5'!L306</f>
        <v>-100.6</v>
      </c>
      <c r="L586" s="36">
        <f t="shared" si="129"/>
        <v>6727.299999999999</v>
      </c>
      <c r="M586" s="7">
        <f>'прил.5'!N306</f>
        <v>0</v>
      </c>
      <c r="N586" s="36">
        <f t="shared" si="130"/>
        <v>6727.299999999999</v>
      </c>
      <c r="O586" s="7">
        <f>'прил.5'!P306</f>
        <v>0</v>
      </c>
      <c r="P586" s="36">
        <f t="shared" si="125"/>
        <v>6727.299999999999</v>
      </c>
      <c r="Q586" s="7">
        <f>'прил.5'!R306</f>
        <v>0</v>
      </c>
      <c r="R586" s="36">
        <f t="shared" si="126"/>
        <v>6727.299999999999</v>
      </c>
    </row>
    <row r="587" spans="1:18" ht="19.5" customHeight="1">
      <c r="A587" s="62" t="str">
        <f ca="1">IF(ISERROR(MATCH(B587,Код_КЦСР,0)),"",INDIRECT(ADDRESS(MATCH(B587,Код_КЦСР,0)+1,2,,,"КЦСР")))</f>
        <v>Муниципальная программа «Здоровый город» на 2014-2022 годы</v>
      </c>
      <c r="B587" s="44" t="s">
        <v>579</v>
      </c>
      <c r="C587" s="8"/>
      <c r="D587" s="1"/>
      <c r="E587" s="115"/>
      <c r="F587" s="7">
        <f>F588+F604+F630+F650+F661+F672</f>
        <v>2291.3</v>
      </c>
      <c r="G587" s="7">
        <f>G588+G604+G630+G650+G661+G672</f>
        <v>0</v>
      </c>
      <c r="H587" s="36">
        <f t="shared" si="134"/>
        <v>2291.3</v>
      </c>
      <c r="I587" s="7">
        <f>I588+I604+I630+I650+I661+I672</f>
        <v>0</v>
      </c>
      <c r="J587" s="36">
        <f t="shared" si="131"/>
        <v>2291.3</v>
      </c>
      <c r="K587" s="7">
        <f>K588+K604+K630+K650+K661+K672</f>
        <v>0</v>
      </c>
      <c r="L587" s="36">
        <f t="shared" si="129"/>
        <v>2291.3</v>
      </c>
      <c r="M587" s="7">
        <f>M588+M604+M630+M650+M661+M672</f>
        <v>0</v>
      </c>
      <c r="N587" s="36">
        <f t="shared" si="130"/>
        <v>2291.3</v>
      </c>
      <c r="O587" s="7">
        <f>O588+O604+O630+O650+O661+O672</f>
        <v>0</v>
      </c>
      <c r="P587" s="36">
        <f t="shared" si="125"/>
        <v>2291.3</v>
      </c>
      <c r="Q587" s="7">
        <f>Q588+Q604+Q630+Q650+Q661+Q672</f>
        <v>-30</v>
      </c>
      <c r="R587" s="36">
        <f t="shared" si="126"/>
        <v>2261.3</v>
      </c>
    </row>
    <row r="588" spans="1:18" ht="18.75" customHeight="1">
      <c r="A588" s="62" t="str">
        <f ca="1">IF(ISERROR(MATCH(B588,Код_КЦСР,0)),"",INDIRECT(ADDRESS(MATCH(B588,Код_КЦСР,0)+1,2,,,"КЦСР")))</f>
        <v>Организационно-методическое обеспечение Программы</v>
      </c>
      <c r="B588" s="44" t="s">
        <v>581</v>
      </c>
      <c r="C588" s="8"/>
      <c r="D588" s="1"/>
      <c r="E588" s="115"/>
      <c r="F588" s="7">
        <f>F589+F599</f>
        <v>954</v>
      </c>
      <c r="G588" s="7">
        <f>G589+G599</f>
        <v>0</v>
      </c>
      <c r="H588" s="36">
        <f t="shared" si="134"/>
        <v>954</v>
      </c>
      <c r="I588" s="7">
        <f>I589+I599</f>
        <v>0</v>
      </c>
      <c r="J588" s="36">
        <f t="shared" si="131"/>
        <v>954</v>
      </c>
      <c r="K588" s="7">
        <f>K589+K599</f>
        <v>0</v>
      </c>
      <c r="L588" s="36">
        <f t="shared" si="129"/>
        <v>954</v>
      </c>
      <c r="M588" s="7">
        <f>M589+M599</f>
        <v>0</v>
      </c>
      <c r="N588" s="36">
        <f t="shared" si="130"/>
        <v>954</v>
      </c>
      <c r="O588" s="7">
        <f>O589+O599</f>
        <v>0</v>
      </c>
      <c r="P588" s="36">
        <f t="shared" si="125"/>
        <v>954</v>
      </c>
      <c r="Q588" s="7">
        <f>Q589+Q599</f>
        <v>-14.3</v>
      </c>
      <c r="R588" s="36">
        <f t="shared" si="126"/>
        <v>939.7</v>
      </c>
    </row>
    <row r="589" spans="1:18" ht="18.75" customHeight="1">
      <c r="A589" s="62" t="str">
        <f ca="1">IF(ISERROR(MATCH(C589,Код_Раздел,0)),"",INDIRECT(ADDRESS(MATCH(C589,Код_Раздел,0)+1,2,,,"Раздел")))</f>
        <v>Общегосударственные  вопросы</v>
      </c>
      <c r="B589" s="44" t="s">
        <v>581</v>
      </c>
      <c r="C589" s="8" t="s">
        <v>221</v>
      </c>
      <c r="D589" s="1"/>
      <c r="E589" s="115"/>
      <c r="F589" s="7">
        <f>F590</f>
        <v>954</v>
      </c>
      <c r="G589" s="7">
        <f>G590</f>
        <v>0</v>
      </c>
      <c r="H589" s="36">
        <f t="shared" si="134"/>
        <v>954</v>
      </c>
      <c r="I589" s="7">
        <f>I590</f>
        <v>0</v>
      </c>
      <c r="J589" s="36">
        <f t="shared" si="131"/>
        <v>954</v>
      </c>
      <c r="K589" s="7">
        <f>K590</f>
        <v>0</v>
      </c>
      <c r="L589" s="36">
        <f t="shared" si="129"/>
        <v>954</v>
      </c>
      <c r="M589" s="7">
        <f>M590</f>
        <v>0</v>
      </c>
      <c r="N589" s="36">
        <f t="shared" si="130"/>
        <v>954</v>
      </c>
      <c r="O589" s="7">
        <f>O590</f>
        <v>0</v>
      </c>
      <c r="P589" s="36">
        <f t="shared" si="125"/>
        <v>954</v>
      </c>
      <c r="Q589" s="7">
        <f>Q590</f>
        <v>-14.3</v>
      </c>
      <c r="R589" s="36">
        <f t="shared" si="126"/>
        <v>939.7</v>
      </c>
    </row>
    <row r="590" spans="1:18" ht="19.5" customHeight="1">
      <c r="A590" s="12" t="s">
        <v>245</v>
      </c>
      <c r="B590" s="44" t="s">
        <v>581</v>
      </c>
      <c r="C590" s="8" t="s">
        <v>221</v>
      </c>
      <c r="D590" s="1" t="s">
        <v>198</v>
      </c>
      <c r="E590" s="115"/>
      <c r="F590" s="7">
        <f>F591+F594</f>
        <v>954</v>
      </c>
      <c r="G590" s="7">
        <f>G591+G597</f>
        <v>0</v>
      </c>
      <c r="H590" s="36">
        <f t="shared" si="134"/>
        <v>954</v>
      </c>
      <c r="I590" s="7">
        <f>I591+I594</f>
        <v>0</v>
      </c>
      <c r="J590" s="36">
        <f t="shared" si="131"/>
        <v>954</v>
      </c>
      <c r="K590" s="7">
        <f>K591+K594</f>
        <v>0</v>
      </c>
      <c r="L590" s="36">
        <f t="shared" si="129"/>
        <v>954</v>
      </c>
      <c r="M590" s="7">
        <f>M591+M594</f>
        <v>0</v>
      </c>
      <c r="N590" s="36">
        <f t="shared" si="130"/>
        <v>954</v>
      </c>
      <c r="O590" s="7">
        <f>O591+O594</f>
        <v>0</v>
      </c>
      <c r="P590" s="36">
        <f t="shared" si="125"/>
        <v>954</v>
      </c>
      <c r="Q590" s="7">
        <f>Q591+Q594</f>
        <v>-14.3</v>
      </c>
      <c r="R590" s="36">
        <f t="shared" si="126"/>
        <v>939.7</v>
      </c>
    </row>
    <row r="591" spans="1:18" ht="12.75">
      <c r="A591" s="62" t="str">
        <f aca="true" t="shared" si="136" ref="A591:A598">IF(ISERROR(MATCH(E591,Код_КВР,0)),"",INDIRECT(ADDRESS(MATCH(E591,Код_КВР,0)+1,2,,,"КВР")))</f>
        <v>Закупка товаров, работ и услуг для муниципальных нужд</v>
      </c>
      <c r="B591" s="44" t="s">
        <v>581</v>
      </c>
      <c r="C591" s="8" t="s">
        <v>221</v>
      </c>
      <c r="D591" s="1" t="s">
        <v>198</v>
      </c>
      <c r="E591" s="115">
        <v>200</v>
      </c>
      <c r="F591" s="7">
        <f>F592</f>
        <v>276</v>
      </c>
      <c r="G591" s="7">
        <f>G592</f>
        <v>0</v>
      </c>
      <c r="H591" s="36">
        <f t="shared" si="134"/>
        <v>276</v>
      </c>
      <c r="I591" s="7">
        <f>I592</f>
        <v>-130</v>
      </c>
      <c r="J591" s="36">
        <f t="shared" si="131"/>
        <v>146</v>
      </c>
      <c r="K591" s="7">
        <f>K592</f>
        <v>0</v>
      </c>
      <c r="L591" s="36">
        <f t="shared" si="129"/>
        <v>146</v>
      </c>
      <c r="M591" s="7">
        <f>M592</f>
        <v>0</v>
      </c>
      <c r="N591" s="36">
        <f t="shared" si="130"/>
        <v>146</v>
      </c>
      <c r="O591" s="7">
        <f>O592</f>
        <v>0</v>
      </c>
      <c r="P591" s="36">
        <f t="shared" si="125"/>
        <v>146</v>
      </c>
      <c r="Q591" s="7">
        <f>Q592</f>
        <v>-8.6</v>
      </c>
      <c r="R591" s="36">
        <f t="shared" si="126"/>
        <v>137.4</v>
      </c>
    </row>
    <row r="592" spans="1:18" ht="36" customHeight="1">
      <c r="A592" s="62" t="str">
        <f ca="1" t="shared" si="136"/>
        <v>Иные закупки товаров, работ и услуг для обеспечения муниципальных нужд</v>
      </c>
      <c r="B592" s="44" t="s">
        <v>581</v>
      </c>
      <c r="C592" s="8" t="s">
        <v>221</v>
      </c>
      <c r="D592" s="1" t="s">
        <v>198</v>
      </c>
      <c r="E592" s="115">
        <v>240</v>
      </c>
      <c r="F592" s="7">
        <f>F593</f>
        <v>276</v>
      </c>
      <c r="G592" s="7">
        <f>G593</f>
        <v>0</v>
      </c>
      <c r="H592" s="36">
        <f t="shared" si="134"/>
        <v>276</v>
      </c>
      <c r="I592" s="7">
        <f>I593</f>
        <v>-130</v>
      </c>
      <c r="J592" s="36">
        <f t="shared" si="131"/>
        <v>146</v>
      </c>
      <c r="K592" s="7">
        <f>K593</f>
        <v>0</v>
      </c>
      <c r="L592" s="36">
        <f t="shared" si="129"/>
        <v>146</v>
      </c>
      <c r="M592" s="7">
        <f>M593</f>
        <v>0</v>
      </c>
      <c r="N592" s="36">
        <f t="shared" si="130"/>
        <v>146</v>
      </c>
      <c r="O592" s="7">
        <f>O593</f>
        <v>0</v>
      </c>
      <c r="P592" s="36">
        <f t="shared" si="125"/>
        <v>146</v>
      </c>
      <c r="Q592" s="7">
        <f>Q593</f>
        <v>-8.6</v>
      </c>
      <c r="R592" s="36">
        <f t="shared" si="126"/>
        <v>137.4</v>
      </c>
    </row>
    <row r="593" spans="1:18" ht="33.75" customHeight="1">
      <c r="A593" s="62" t="str">
        <f ca="1" t="shared" si="136"/>
        <v xml:space="preserve">Прочая закупка товаров, работ и услуг для обеспечения муниципальных нужд         </v>
      </c>
      <c r="B593" s="44" t="s">
        <v>581</v>
      </c>
      <c r="C593" s="8" t="s">
        <v>221</v>
      </c>
      <c r="D593" s="1" t="s">
        <v>198</v>
      </c>
      <c r="E593" s="115">
        <v>244</v>
      </c>
      <c r="F593" s="7">
        <f>'прил.5'!G96</f>
        <v>276</v>
      </c>
      <c r="G593" s="7">
        <f>'прил.5'!H96</f>
        <v>0</v>
      </c>
      <c r="H593" s="36">
        <f t="shared" si="134"/>
        <v>276</v>
      </c>
      <c r="I593" s="7">
        <f>'прил.5'!J96</f>
        <v>-130</v>
      </c>
      <c r="J593" s="36">
        <f t="shared" si="131"/>
        <v>146</v>
      </c>
      <c r="K593" s="7">
        <f>'прил.5'!L96</f>
        <v>0</v>
      </c>
      <c r="L593" s="36">
        <f t="shared" si="129"/>
        <v>146</v>
      </c>
      <c r="M593" s="7">
        <f>'прил.5'!N96</f>
        <v>0</v>
      </c>
      <c r="N593" s="36">
        <f t="shared" si="130"/>
        <v>146</v>
      </c>
      <c r="O593" s="7">
        <f>'прил.5'!P96</f>
        <v>0</v>
      </c>
      <c r="P593" s="36">
        <f t="shared" si="125"/>
        <v>146</v>
      </c>
      <c r="Q593" s="7">
        <f>'прил.5'!R96</f>
        <v>-8.6</v>
      </c>
      <c r="R593" s="36">
        <f t="shared" si="126"/>
        <v>137.4</v>
      </c>
    </row>
    <row r="594" spans="1:18" ht="12.75">
      <c r="A594" s="62" t="str">
        <f ca="1" t="shared" si="136"/>
        <v>Иные бюджетные ассигнования</v>
      </c>
      <c r="B594" s="44" t="s">
        <v>581</v>
      </c>
      <c r="C594" s="8" t="s">
        <v>221</v>
      </c>
      <c r="D594" s="1" t="s">
        <v>198</v>
      </c>
      <c r="E594" s="115">
        <v>800</v>
      </c>
      <c r="F594" s="7">
        <f>F595+F597</f>
        <v>678</v>
      </c>
      <c r="G594" s="7"/>
      <c r="H594" s="36">
        <f t="shared" si="134"/>
        <v>678</v>
      </c>
      <c r="I594" s="7">
        <f>I595+I597</f>
        <v>130</v>
      </c>
      <c r="J594" s="36">
        <f t="shared" si="131"/>
        <v>808</v>
      </c>
      <c r="K594" s="7">
        <f>K595+K597</f>
        <v>0</v>
      </c>
      <c r="L594" s="36">
        <f t="shared" si="129"/>
        <v>808</v>
      </c>
      <c r="M594" s="7">
        <f>M595+M597</f>
        <v>0</v>
      </c>
      <c r="N594" s="36">
        <f t="shared" si="130"/>
        <v>808</v>
      </c>
      <c r="O594" s="7">
        <f>O595+O597</f>
        <v>0</v>
      </c>
      <c r="P594" s="36">
        <f t="shared" si="125"/>
        <v>808</v>
      </c>
      <c r="Q594" s="7">
        <f>Q595+Q597</f>
        <v>-5.7</v>
      </c>
      <c r="R594" s="36">
        <f t="shared" si="126"/>
        <v>802.3</v>
      </c>
    </row>
    <row r="595" spans="1:18" ht="12.75">
      <c r="A595" s="62" t="str">
        <f ca="1" t="shared" si="136"/>
        <v>Уплата налогов, сборов и иных платежей</v>
      </c>
      <c r="B595" s="44" t="s">
        <v>581</v>
      </c>
      <c r="C595" s="8" t="s">
        <v>221</v>
      </c>
      <c r="D595" s="1" t="s">
        <v>198</v>
      </c>
      <c r="E595" s="115">
        <v>850</v>
      </c>
      <c r="F595" s="7"/>
      <c r="G595" s="7"/>
      <c r="H595" s="36">
        <f t="shared" si="134"/>
        <v>0</v>
      </c>
      <c r="I595" s="7">
        <f>I596</f>
        <v>678</v>
      </c>
      <c r="J595" s="36">
        <f t="shared" si="131"/>
        <v>678</v>
      </c>
      <c r="K595" s="7">
        <f>K596</f>
        <v>0</v>
      </c>
      <c r="L595" s="36">
        <f t="shared" si="129"/>
        <v>678</v>
      </c>
      <c r="M595" s="7">
        <f>M596</f>
        <v>0</v>
      </c>
      <c r="N595" s="36">
        <f t="shared" si="130"/>
        <v>678</v>
      </c>
      <c r="O595" s="7">
        <f>O596</f>
        <v>0</v>
      </c>
      <c r="P595" s="36">
        <f t="shared" si="125"/>
        <v>678</v>
      </c>
      <c r="Q595" s="7">
        <f>Q596</f>
        <v>0</v>
      </c>
      <c r="R595" s="36">
        <f t="shared" si="126"/>
        <v>678</v>
      </c>
    </row>
    <row r="596" spans="1:18" ht="12.75">
      <c r="A596" s="62" t="str">
        <f ca="1" t="shared" si="136"/>
        <v>Уплата прочих налогов, сборов и иных платежей</v>
      </c>
      <c r="B596" s="44" t="s">
        <v>581</v>
      </c>
      <c r="C596" s="8" t="s">
        <v>221</v>
      </c>
      <c r="D596" s="1" t="s">
        <v>198</v>
      </c>
      <c r="E596" s="115">
        <v>852</v>
      </c>
      <c r="F596" s="7"/>
      <c r="G596" s="7"/>
      <c r="H596" s="36">
        <f t="shared" si="134"/>
        <v>0</v>
      </c>
      <c r="I596" s="7">
        <f>'прил.5'!J99</f>
        <v>678</v>
      </c>
      <c r="J596" s="36">
        <f t="shared" si="131"/>
        <v>678</v>
      </c>
      <c r="K596" s="7">
        <f>'прил.5'!L99</f>
        <v>0</v>
      </c>
      <c r="L596" s="36">
        <f t="shared" si="129"/>
        <v>678</v>
      </c>
      <c r="M596" s="7">
        <f>'прил.5'!N99</f>
        <v>0</v>
      </c>
      <c r="N596" s="36">
        <f t="shared" si="130"/>
        <v>678</v>
      </c>
      <c r="O596" s="7">
        <f>'прил.5'!P99</f>
        <v>0</v>
      </c>
      <c r="P596" s="36">
        <f t="shared" si="125"/>
        <v>678</v>
      </c>
      <c r="Q596" s="7">
        <f>'прил.5'!R99</f>
        <v>0</v>
      </c>
      <c r="R596" s="36">
        <f t="shared" si="126"/>
        <v>678</v>
      </c>
    </row>
    <row r="597" spans="1:18" ht="33">
      <c r="A597" s="62" t="str">
        <f ca="1" t="shared" si="136"/>
        <v>Предоставление платежей, взносов, безвозмездных перечислений субъектам международного права</v>
      </c>
      <c r="B597" s="44" t="s">
        <v>581</v>
      </c>
      <c r="C597" s="8" t="s">
        <v>221</v>
      </c>
      <c r="D597" s="1" t="s">
        <v>198</v>
      </c>
      <c r="E597" s="115">
        <v>860</v>
      </c>
      <c r="F597" s="7">
        <f>F598</f>
        <v>678</v>
      </c>
      <c r="G597" s="7">
        <f>G598</f>
        <v>0</v>
      </c>
      <c r="H597" s="36">
        <f t="shared" si="134"/>
        <v>678</v>
      </c>
      <c r="I597" s="7">
        <f>I598</f>
        <v>-548</v>
      </c>
      <c r="J597" s="36">
        <f t="shared" si="131"/>
        <v>130</v>
      </c>
      <c r="K597" s="7">
        <f>K598</f>
        <v>0</v>
      </c>
      <c r="L597" s="36">
        <f t="shared" si="129"/>
        <v>130</v>
      </c>
      <c r="M597" s="7">
        <f>M598</f>
        <v>0</v>
      </c>
      <c r="N597" s="36">
        <f t="shared" si="130"/>
        <v>130</v>
      </c>
      <c r="O597" s="7">
        <f>O598</f>
        <v>0</v>
      </c>
      <c r="P597" s="36">
        <f t="shared" si="125"/>
        <v>130</v>
      </c>
      <c r="Q597" s="7">
        <f>Q598</f>
        <v>-5.7</v>
      </c>
      <c r="R597" s="36">
        <f t="shared" si="126"/>
        <v>124.3</v>
      </c>
    </row>
    <row r="598" spans="1:18" ht="12.75">
      <c r="A598" s="62" t="str">
        <f ca="1" t="shared" si="136"/>
        <v>Взносы в международные организации</v>
      </c>
      <c r="B598" s="44" t="s">
        <v>581</v>
      </c>
      <c r="C598" s="8" t="s">
        <v>221</v>
      </c>
      <c r="D598" s="1" t="s">
        <v>198</v>
      </c>
      <c r="E598" s="115">
        <v>862</v>
      </c>
      <c r="F598" s="7">
        <f>'прил.5'!G101</f>
        <v>678</v>
      </c>
      <c r="G598" s="7">
        <f>'прил.5'!H101</f>
        <v>0</v>
      </c>
      <c r="H598" s="36">
        <f t="shared" si="134"/>
        <v>678</v>
      </c>
      <c r="I598" s="7">
        <f>'прил.5'!J101</f>
        <v>-548</v>
      </c>
      <c r="J598" s="36">
        <f t="shared" si="131"/>
        <v>130</v>
      </c>
      <c r="K598" s="7">
        <f>'прил.5'!L101</f>
        <v>0</v>
      </c>
      <c r="L598" s="36">
        <f t="shared" si="129"/>
        <v>130</v>
      </c>
      <c r="M598" s="7">
        <f>'прил.5'!N101</f>
        <v>0</v>
      </c>
      <c r="N598" s="36">
        <f t="shared" si="130"/>
        <v>130</v>
      </c>
      <c r="O598" s="7">
        <f>'прил.5'!P101</f>
        <v>0</v>
      </c>
      <c r="P598" s="36">
        <f t="shared" si="125"/>
        <v>130</v>
      </c>
      <c r="Q598" s="7">
        <f>'прил.5'!R101</f>
        <v>-5.7</v>
      </c>
      <c r="R598" s="36">
        <f t="shared" si="126"/>
        <v>124.3</v>
      </c>
    </row>
    <row r="599" spans="1:18" ht="12.75" hidden="1">
      <c r="A599" s="62" t="str">
        <f ca="1">IF(ISERROR(MATCH(C599,Код_Раздел,0)),"",INDIRECT(ADDRESS(MATCH(C599,Код_Раздел,0)+1,2,,,"Раздел")))</f>
        <v>Образование</v>
      </c>
      <c r="B599" s="44" t="s">
        <v>581</v>
      </c>
      <c r="C599" s="8" t="s">
        <v>203</v>
      </c>
      <c r="D599" s="1"/>
      <c r="E599" s="115"/>
      <c r="F599" s="7">
        <f aca="true" t="shared" si="137" ref="F599:Q602">F600</f>
        <v>0</v>
      </c>
      <c r="G599" s="7">
        <f t="shared" si="137"/>
        <v>0</v>
      </c>
      <c r="H599" s="36">
        <f t="shared" si="134"/>
        <v>0</v>
      </c>
      <c r="I599" s="7">
        <f t="shared" si="137"/>
        <v>0</v>
      </c>
      <c r="J599" s="36">
        <f t="shared" si="131"/>
        <v>0</v>
      </c>
      <c r="K599" s="7">
        <f t="shared" si="137"/>
        <v>0</v>
      </c>
      <c r="L599" s="36">
        <f t="shared" si="129"/>
        <v>0</v>
      </c>
      <c r="M599" s="7">
        <f t="shared" si="137"/>
        <v>0</v>
      </c>
      <c r="N599" s="36">
        <f t="shared" si="130"/>
        <v>0</v>
      </c>
      <c r="O599" s="7">
        <f t="shared" si="137"/>
        <v>0</v>
      </c>
      <c r="P599" s="36">
        <f t="shared" si="125"/>
        <v>0</v>
      </c>
      <c r="Q599" s="7">
        <f t="shared" si="137"/>
        <v>0</v>
      </c>
      <c r="R599" s="36">
        <f t="shared" si="126"/>
        <v>0</v>
      </c>
    </row>
    <row r="600" spans="1:18" ht="12.75" hidden="1">
      <c r="A600" s="12" t="s">
        <v>207</v>
      </c>
      <c r="B600" s="44" t="s">
        <v>581</v>
      </c>
      <c r="C600" s="8" t="s">
        <v>203</v>
      </c>
      <c r="D600" s="1" t="s">
        <v>203</v>
      </c>
      <c r="E600" s="115"/>
      <c r="F600" s="7">
        <f t="shared" si="137"/>
        <v>0</v>
      </c>
      <c r="G600" s="7">
        <f t="shared" si="137"/>
        <v>0</v>
      </c>
      <c r="H600" s="36">
        <f t="shared" si="134"/>
        <v>0</v>
      </c>
      <c r="I600" s="7">
        <f t="shared" si="137"/>
        <v>0</v>
      </c>
      <c r="J600" s="36">
        <f t="shared" si="131"/>
        <v>0</v>
      </c>
      <c r="K600" s="7">
        <f t="shared" si="137"/>
        <v>0</v>
      </c>
      <c r="L600" s="36">
        <f t="shared" si="129"/>
        <v>0</v>
      </c>
      <c r="M600" s="7">
        <f t="shared" si="137"/>
        <v>0</v>
      </c>
      <c r="N600" s="36">
        <f t="shared" si="130"/>
        <v>0</v>
      </c>
      <c r="O600" s="7">
        <f t="shared" si="137"/>
        <v>0</v>
      </c>
      <c r="P600" s="36">
        <f t="shared" si="125"/>
        <v>0</v>
      </c>
      <c r="Q600" s="7">
        <f t="shared" si="137"/>
        <v>0</v>
      </c>
      <c r="R600" s="36">
        <f t="shared" si="126"/>
        <v>0</v>
      </c>
    </row>
    <row r="601" spans="1:18" ht="33" hidden="1">
      <c r="A601" s="62" t="str">
        <f ca="1">IF(ISERROR(MATCH(E601,Код_КВР,0)),"",INDIRECT(ADDRESS(MATCH(E601,Код_КВР,0)+1,2,,,"КВР")))</f>
        <v>Предоставление субсидий бюджетным, автономным учреждениям и иным некоммерческим организациям</v>
      </c>
      <c r="B601" s="44" t="s">
        <v>581</v>
      </c>
      <c r="C601" s="8" t="s">
        <v>203</v>
      </c>
      <c r="D601" s="1" t="s">
        <v>203</v>
      </c>
      <c r="E601" s="115">
        <v>600</v>
      </c>
      <c r="F601" s="7">
        <f t="shared" si="137"/>
        <v>0</v>
      </c>
      <c r="G601" s="7">
        <f t="shared" si="137"/>
        <v>0</v>
      </c>
      <c r="H601" s="36">
        <f t="shared" si="134"/>
        <v>0</v>
      </c>
      <c r="I601" s="7">
        <f t="shared" si="137"/>
        <v>0</v>
      </c>
      <c r="J601" s="36">
        <f t="shared" si="131"/>
        <v>0</v>
      </c>
      <c r="K601" s="7">
        <f t="shared" si="137"/>
        <v>0</v>
      </c>
      <c r="L601" s="36">
        <f t="shared" si="129"/>
        <v>0</v>
      </c>
      <c r="M601" s="7">
        <f t="shared" si="137"/>
        <v>0</v>
      </c>
      <c r="N601" s="36">
        <f t="shared" si="130"/>
        <v>0</v>
      </c>
      <c r="O601" s="7">
        <f t="shared" si="137"/>
        <v>0</v>
      </c>
      <c r="P601" s="36">
        <f t="shared" si="125"/>
        <v>0</v>
      </c>
      <c r="Q601" s="7">
        <f t="shared" si="137"/>
        <v>0</v>
      </c>
      <c r="R601" s="36">
        <f t="shared" si="126"/>
        <v>0</v>
      </c>
    </row>
    <row r="602" spans="1:18" ht="12.75" hidden="1">
      <c r="A602" s="62" t="str">
        <f ca="1">IF(ISERROR(MATCH(E602,Код_КВР,0)),"",INDIRECT(ADDRESS(MATCH(E602,Код_КВР,0)+1,2,,,"КВР")))</f>
        <v>Субсидии бюджетным учреждениям</v>
      </c>
      <c r="B602" s="44" t="s">
        <v>581</v>
      </c>
      <c r="C602" s="8" t="s">
        <v>203</v>
      </c>
      <c r="D602" s="1" t="s">
        <v>203</v>
      </c>
      <c r="E602" s="115">
        <v>610</v>
      </c>
      <c r="F602" s="7">
        <f t="shared" si="137"/>
        <v>0</v>
      </c>
      <c r="G602" s="7">
        <f t="shared" si="137"/>
        <v>0</v>
      </c>
      <c r="H602" s="36">
        <f t="shared" si="134"/>
        <v>0</v>
      </c>
      <c r="I602" s="7">
        <f t="shared" si="137"/>
        <v>0</v>
      </c>
      <c r="J602" s="36">
        <f t="shared" si="131"/>
        <v>0</v>
      </c>
      <c r="K602" s="7">
        <f t="shared" si="137"/>
        <v>0</v>
      </c>
      <c r="L602" s="36">
        <f t="shared" si="129"/>
        <v>0</v>
      </c>
      <c r="M602" s="7">
        <f t="shared" si="137"/>
        <v>0</v>
      </c>
      <c r="N602" s="36">
        <f t="shared" si="130"/>
        <v>0</v>
      </c>
      <c r="O602" s="7">
        <f t="shared" si="137"/>
        <v>0</v>
      </c>
      <c r="P602" s="36">
        <f t="shared" si="125"/>
        <v>0</v>
      </c>
      <c r="Q602" s="7">
        <f t="shared" si="137"/>
        <v>0</v>
      </c>
      <c r="R602" s="36">
        <f t="shared" si="126"/>
        <v>0</v>
      </c>
    </row>
    <row r="603" spans="1:18" ht="12.75" hidden="1">
      <c r="A603" s="62" t="str">
        <f ca="1">IF(ISERROR(MATCH(E603,Код_КВР,0)),"",INDIRECT(ADDRESS(MATCH(E603,Код_КВР,0)+1,2,,,"КВР")))</f>
        <v>Субсидии бюджетным учреждениям на иные цели</v>
      </c>
      <c r="B603" s="44" t="s">
        <v>581</v>
      </c>
      <c r="C603" s="8" t="s">
        <v>203</v>
      </c>
      <c r="D603" s="1" t="s">
        <v>203</v>
      </c>
      <c r="E603" s="115">
        <v>612</v>
      </c>
      <c r="F603" s="7">
        <f>'прил.5'!G311</f>
        <v>0</v>
      </c>
      <c r="G603" s="7">
        <f>'прил.5'!H311</f>
        <v>0</v>
      </c>
      <c r="H603" s="36">
        <f t="shared" si="134"/>
        <v>0</v>
      </c>
      <c r="I603" s="7">
        <f>'прил.5'!J311</f>
        <v>0</v>
      </c>
      <c r="J603" s="36">
        <f t="shared" si="131"/>
        <v>0</v>
      </c>
      <c r="K603" s="7">
        <f>'прил.5'!L311</f>
        <v>0</v>
      </c>
      <c r="L603" s="36">
        <f t="shared" si="129"/>
        <v>0</v>
      </c>
      <c r="M603" s="7">
        <f>'прил.5'!N311</f>
        <v>0</v>
      </c>
      <c r="N603" s="36">
        <f t="shared" si="130"/>
        <v>0</v>
      </c>
      <c r="O603" s="7">
        <f>'прил.5'!P311</f>
        <v>0</v>
      </c>
      <c r="P603" s="36">
        <f t="shared" si="125"/>
        <v>0</v>
      </c>
      <c r="Q603" s="7">
        <f>'прил.5'!R311</f>
        <v>0</v>
      </c>
      <c r="R603" s="36">
        <f t="shared" si="126"/>
        <v>0</v>
      </c>
    </row>
    <row r="604" spans="1:18" ht="12.75">
      <c r="A604" s="62" t="str">
        <f ca="1">IF(ISERROR(MATCH(B604,Код_КЦСР,0)),"",INDIRECT(ADDRESS(MATCH(B604,Код_КЦСР,0)+1,2,,,"КЦСР")))</f>
        <v>Сохранение и укрепление здоровья детей и подростков</v>
      </c>
      <c r="B604" s="44" t="s">
        <v>582</v>
      </c>
      <c r="C604" s="8"/>
      <c r="D604" s="1"/>
      <c r="E604" s="115"/>
      <c r="F604" s="7">
        <f>F605+F610+F620+F625</f>
        <v>557.9</v>
      </c>
      <c r="G604" s="7">
        <f>G605+G610+G620+G625</f>
        <v>0</v>
      </c>
      <c r="H604" s="36">
        <f t="shared" si="134"/>
        <v>557.9</v>
      </c>
      <c r="I604" s="7">
        <f>I605+I610+I620+I625</f>
        <v>0</v>
      </c>
      <c r="J604" s="36">
        <f t="shared" si="131"/>
        <v>557.9</v>
      </c>
      <c r="K604" s="7">
        <f>K605+K610+K620+K625</f>
        <v>0</v>
      </c>
      <c r="L604" s="36">
        <f t="shared" si="129"/>
        <v>557.9</v>
      </c>
      <c r="M604" s="7">
        <f>M605+M610+M620+M625</f>
        <v>0</v>
      </c>
      <c r="N604" s="36">
        <f t="shared" si="130"/>
        <v>557.9</v>
      </c>
      <c r="O604" s="7">
        <f>O605+O610+O620+O625</f>
        <v>0</v>
      </c>
      <c r="P604" s="36">
        <f t="shared" si="125"/>
        <v>557.9</v>
      </c>
      <c r="Q604" s="7">
        <f>Q605+Q610+Q620+Q625</f>
        <v>0</v>
      </c>
      <c r="R604" s="36">
        <f t="shared" si="126"/>
        <v>557.9</v>
      </c>
    </row>
    <row r="605" spans="1:18" ht="12.75">
      <c r="A605" s="62" t="str">
        <f ca="1">IF(ISERROR(MATCH(C605,Код_Раздел,0)),"",INDIRECT(ADDRESS(MATCH(C605,Код_Раздел,0)+1,2,,,"Раздел")))</f>
        <v>Национальная безопасность и правоохранительная  деятельность</v>
      </c>
      <c r="B605" s="44" t="s">
        <v>582</v>
      </c>
      <c r="C605" s="8" t="s">
        <v>223</v>
      </c>
      <c r="D605" s="1"/>
      <c r="E605" s="115"/>
      <c r="F605" s="7">
        <f aca="true" t="shared" si="138" ref="F605:Q608">F606</f>
        <v>77.9</v>
      </c>
      <c r="G605" s="7">
        <f t="shared" si="138"/>
        <v>0</v>
      </c>
      <c r="H605" s="36">
        <f t="shared" si="134"/>
        <v>77.9</v>
      </c>
      <c r="I605" s="7">
        <f t="shared" si="138"/>
        <v>0</v>
      </c>
      <c r="J605" s="36">
        <f t="shared" si="131"/>
        <v>77.9</v>
      </c>
      <c r="K605" s="7">
        <f t="shared" si="138"/>
        <v>0</v>
      </c>
      <c r="L605" s="36">
        <f t="shared" si="129"/>
        <v>77.9</v>
      </c>
      <c r="M605" s="7">
        <f t="shared" si="138"/>
        <v>0</v>
      </c>
      <c r="N605" s="36">
        <f t="shared" si="130"/>
        <v>77.9</v>
      </c>
      <c r="O605" s="7">
        <f t="shared" si="138"/>
        <v>0</v>
      </c>
      <c r="P605" s="36">
        <f t="shared" si="125"/>
        <v>77.9</v>
      </c>
      <c r="Q605" s="7">
        <f t="shared" si="138"/>
        <v>0</v>
      </c>
      <c r="R605" s="36">
        <f t="shared" si="126"/>
        <v>77.9</v>
      </c>
    </row>
    <row r="606" spans="1:18" ht="36.75" customHeight="1">
      <c r="A606" s="12" t="s">
        <v>270</v>
      </c>
      <c r="B606" s="44" t="s">
        <v>582</v>
      </c>
      <c r="C606" s="8" t="s">
        <v>223</v>
      </c>
      <c r="D606" s="1" t="s">
        <v>227</v>
      </c>
      <c r="E606" s="115"/>
      <c r="F606" s="7">
        <f t="shared" si="138"/>
        <v>77.9</v>
      </c>
      <c r="G606" s="7">
        <f t="shared" si="138"/>
        <v>0</v>
      </c>
      <c r="H606" s="36">
        <f t="shared" si="134"/>
        <v>77.9</v>
      </c>
      <c r="I606" s="7">
        <f t="shared" si="138"/>
        <v>0</v>
      </c>
      <c r="J606" s="36">
        <f t="shared" si="131"/>
        <v>77.9</v>
      </c>
      <c r="K606" s="7">
        <f t="shared" si="138"/>
        <v>0</v>
      </c>
      <c r="L606" s="36">
        <f t="shared" si="129"/>
        <v>77.9</v>
      </c>
      <c r="M606" s="7">
        <f t="shared" si="138"/>
        <v>0</v>
      </c>
      <c r="N606" s="36">
        <f t="shared" si="130"/>
        <v>77.9</v>
      </c>
      <c r="O606" s="7">
        <f t="shared" si="138"/>
        <v>0</v>
      </c>
      <c r="P606" s="36">
        <f t="shared" si="125"/>
        <v>77.9</v>
      </c>
      <c r="Q606" s="7">
        <f t="shared" si="138"/>
        <v>0</v>
      </c>
      <c r="R606" s="36">
        <f t="shared" si="126"/>
        <v>77.9</v>
      </c>
    </row>
    <row r="607" spans="1:18" ht="19.5" customHeight="1">
      <c r="A607" s="62" t="str">
        <f ca="1">IF(ISERROR(MATCH(E607,Код_КВР,0)),"",INDIRECT(ADDRESS(MATCH(E607,Код_КВР,0)+1,2,,,"КВР")))</f>
        <v>Закупка товаров, работ и услуг для муниципальных нужд</v>
      </c>
      <c r="B607" s="44" t="s">
        <v>582</v>
      </c>
      <c r="C607" s="8" t="s">
        <v>223</v>
      </c>
      <c r="D607" s="1" t="s">
        <v>227</v>
      </c>
      <c r="E607" s="115">
        <v>200</v>
      </c>
      <c r="F607" s="7">
        <f t="shared" si="138"/>
        <v>77.9</v>
      </c>
      <c r="G607" s="7">
        <f t="shared" si="138"/>
        <v>0</v>
      </c>
      <c r="H607" s="36">
        <f t="shared" si="134"/>
        <v>77.9</v>
      </c>
      <c r="I607" s="7">
        <f t="shared" si="138"/>
        <v>0</v>
      </c>
      <c r="J607" s="36">
        <f t="shared" si="131"/>
        <v>77.9</v>
      </c>
      <c r="K607" s="7">
        <f t="shared" si="138"/>
        <v>0</v>
      </c>
      <c r="L607" s="36">
        <f t="shared" si="129"/>
        <v>77.9</v>
      </c>
      <c r="M607" s="7">
        <f t="shared" si="138"/>
        <v>0</v>
      </c>
      <c r="N607" s="36">
        <f t="shared" si="130"/>
        <v>77.9</v>
      </c>
      <c r="O607" s="7">
        <f t="shared" si="138"/>
        <v>0</v>
      </c>
      <c r="P607" s="36">
        <f t="shared" si="125"/>
        <v>77.9</v>
      </c>
      <c r="Q607" s="7">
        <f t="shared" si="138"/>
        <v>0</v>
      </c>
      <c r="R607" s="36">
        <f t="shared" si="126"/>
        <v>77.9</v>
      </c>
    </row>
    <row r="608" spans="1:18" ht="36.75" customHeight="1">
      <c r="A608" s="62" t="str">
        <f ca="1">IF(ISERROR(MATCH(E608,Код_КВР,0)),"",INDIRECT(ADDRESS(MATCH(E608,Код_КВР,0)+1,2,,,"КВР")))</f>
        <v>Иные закупки товаров, работ и услуг для обеспечения муниципальных нужд</v>
      </c>
      <c r="B608" s="44" t="s">
        <v>582</v>
      </c>
      <c r="C608" s="8" t="s">
        <v>223</v>
      </c>
      <c r="D608" s="1" t="s">
        <v>227</v>
      </c>
      <c r="E608" s="115">
        <v>240</v>
      </c>
      <c r="F608" s="7">
        <f t="shared" si="138"/>
        <v>77.9</v>
      </c>
      <c r="G608" s="7">
        <f t="shared" si="138"/>
        <v>0</v>
      </c>
      <c r="H608" s="36">
        <f t="shared" si="134"/>
        <v>77.9</v>
      </c>
      <c r="I608" s="7">
        <f t="shared" si="138"/>
        <v>0</v>
      </c>
      <c r="J608" s="36">
        <f t="shared" si="131"/>
        <v>77.9</v>
      </c>
      <c r="K608" s="7">
        <f t="shared" si="138"/>
        <v>0</v>
      </c>
      <c r="L608" s="36">
        <f t="shared" si="129"/>
        <v>77.9</v>
      </c>
      <c r="M608" s="7">
        <f t="shared" si="138"/>
        <v>0</v>
      </c>
      <c r="N608" s="36">
        <f t="shared" si="130"/>
        <v>77.9</v>
      </c>
      <c r="O608" s="7">
        <f t="shared" si="138"/>
        <v>0</v>
      </c>
      <c r="P608" s="36">
        <f t="shared" si="125"/>
        <v>77.9</v>
      </c>
      <c r="Q608" s="7">
        <f t="shared" si="138"/>
        <v>0</v>
      </c>
      <c r="R608" s="36">
        <f t="shared" si="126"/>
        <v>77.9</v>
      </c>
    </row>
    <row r="609" spans="1:18" ht="35.25" customHeight="1">
      <c r="A609" s="62" t="str">
        <f ca="1">IF(ISERROR(MATCH(E609,Код_КВР,0)),"",INDIRECT(ADDRESS(MATCH(E609,Код_КВР,0)+1,2,,,"КВР")))</f>
        <v xml:space="preserve">Прочая закупка товаров, работ и услуг для обеспечения муниципальных нужд         </v>
      </c>
      <c r="B609" s="44" t="s">
        <v>582</v>
      </c>
      <c r="C609" s="8" t="s">
        <v>223</v>
      </c>
      <c r="D609" s="1" t="s">
        <v>227</v>
      </c>
      <c r="E609" s="115">
        <v>244</v>
      </c>
      <c r="F609" s="7">
        <f>'прил.5'!G174</f>
        <v>77.9</v>
      </c>
      <c r="G609" s="7">
        <f>'прил.5'!H174</f>
        <v>0</v>
      </c>
      <c r="H609" s="36">
        <f t="shared" si="134"/>
        <v>77.9</v>
      </c>
      <c r="I609" s="7">
        <f>'прил.5'!J174</f>
        <v>0</v>
      </c>
      <c r="J609" s="36">
        <f t="shared" si="131"/>
        <v>77.9</v>
      </c>
      <c r="K609" s="7">
        <f>'прил.5'!L174</f>
        <v>0</v>
      </c>
      <c r="L609" s="36">
        <f t="shared" si="129"/>
        <v>77.9</v>
      </c>
      <c r="M609" s="7">
        <f>'прил.5'!N174</f>
        <v>0</v>
      </c>
      <c r="N609" s="36">
        <f t="shared" si="130"/>
        <v>77.9</v>
      </c>
      <c r="O609" s="7">
        <f>'прил.5'!P174</f>
        <v>0</v>
      </c>
      <c r="P609" s="36">
        <f t="shared" si="125"/>
        <v>77.9</v>
      </c>
      <c r="Q609" s="7">
        <f>'прил.5'!R174</f>
        <v>0</v>
      </c>
      <c r="R609" s="36">
        <f t="shared" si="126"/>
        <v>77.9</v>
      </c>
    </row>
    <row r="610" spans="1:18" ht="12.75">
      <c r="A610" s="62" t="str">
        <f ca="1">IF(ISERROR(MATCH(C610,Код_Раздел,0)),"",INDIRECT(ADDRESS(MATCH(C610,Код_Раздел,0)+1,2,,,"Раздел")))</f>
        <v>Образование</v>
      </c>
      <c r="B610" s="44" t="s">
        <v>582</v>
      </c>
      <c r="C610" s="8" t="s">
        <v>203</v>
      </c>
      <c r="D610" s="1"/>
      <c r="E610" s="115"/>
      <c r="F610" s="7">
        <f>F611</f>
        <v>480</v>
      </c>
      <c r="G610" s="7">
        <f>G611</f>
        <v>0</v>
      </c>
      <c r="H610" s="36">
        <f t="shared" si="134"/>
        <v>480</v>
      </c>
      <c r="I610" s="7">
        <f>I611</f>
        <v>0</v>
      </c>
      <c r="J610" s="36">
        <f t="shared" si="131"/>
        <v>480</v>
      </c>
      <c r="K610" s="7">
        <f>K611</f>
        <v>0</v>
      </c>
      <c r="L610" s="36">
        <f t="shared" si="129"/>
        <v>480</v>
      </c>
      <c r="M610" s="7">
        <f>M611</f>
        <v>0</v>
      </c>
      <c r="N610" s="36">
        <f t="shared" si="130"/>
        <v>480</v>
      </c>
      <c r="O610" s="7">
        <f>O611</f>
        <v>0</v>
      </c>
      <c r="P610" s="36">
        <f t="shared" si="125"/>
        <v>480</v>
      </c>
      <c r="Q610" s="7">
        <f>Q611</f>
        <v>0</v>
      </c>
      <c r="R610" s="36">
        <f t="shared" si="126"/>
        <v>480</v>
      </c>
    </row>
    <row r="611" spans="1:18" ht="12.75">
      <c r="A611" s="12" t="s">
        <v>259</v>
      </c>
      <c r="B611" s="44" t="s">
        <v>582</v>
      </c>
      <c r="C611" s="8" t="s">
        <v>203</v>
      </c>
      <c r="D611" s="8" t="s">
        <v>227</v>
      </c>
      <c r="E611" s="115"/>
      <c r="F611" s="7">
        <f>F612+F615</f>
        <v>480</v>
      </c>
      <c r="G611" s="7">
        <f>G612+G615</f>
        <v>0</v>
      </c>
      <c r="H611" s="36">
        <f t="shared" si="134"/>
        <v>480</v>
      </c>
      <c r="I611" s="7">
        <f>I612+I615</f>
        <v>0</v>
      </c>
      <c r="J611" s="36">
        <f t="shared" si="131"/>
        <v>480</v>
      </c>
      <c r="K611" s="7">
        <f>K612+K615</f>
        <v>0</v>
      </c>
      <c r="L611" s="36">
        <f t="shared" si="129"/>
        <v>480</v>
      </c>
      <c r="M611" s="7">
        <f>M612+M615</f>
        <v>0</v>
      </c>
      <c r="N611" s="36">
        <f t="shared" si="130"/>
        <v>480</v>
      </c>
      <c r="O611" s="7">
        <f>O612+O615</f>
        <v>0</v>
      </c>
      <c r="P611" s="36">
        <f t="shared" si="125"/>
        <v>480</v>
      </c>
      <c r="Q611" s="7">
        <f>Q612+Q615</f>
        <v>0</v>
      </c>
      <c r="R611" s="36">
        <f t="shared" si="126"/>
        <v>480</v>
      </c>
    </row>
    <row r="612" spans="1:18" ht="12.75" hidden="1">
      <c r="A612" s="62" t="str">
        <f aca="true" t="shared" si="139" ref="A612:A619">IF(ISERROR(MATCH(E612,Код_КВР,0)),"",INDIRECT(ADDRESS(MATCH(E612,Код_КВР,0)+1,2,,,"КВР")))</f>
        <v>Закупка товаров, работ и услуг для муниципальных нужд</v>
      </c>
      <c r="B612" s="44" t="s">
        <v>582</v>
      </c>
      <c r="C612" s="8" t="s">
        <v>203</v>
      </c>
      <c r="D612" s="8" t="s">
        <v>227</v>
      </c>
      <c r="E612" s="115">
        <v>200</v>
      </c>
      <c r="F612" s="7">
        <f>F613</f>
        <v>0</v>
      </c>
      <c r="G612" s="7">
        <f>G613</f>
        <v>0</v>
      </c>
      <c r="H612" s="36">
        <f t="shared" si="134"/>
        <v>0</v>
      </c>
      <c r="I612" s="7">
        <f>I613</f>
        <v>0</v>
      </c>
      <c r="J612" s="36">
        <f t="shared" si="131"/>
        <v>0</v>
      </c>
      <c r="K612" s="7">
        <f>K613</f>
        <v>0</v>
      </c>
      <c r="L612" s="36">
        <f t="shared" si="129"/>
        <v>0</v>
      </c>
      <c r="M612" s="7">
        <f>M613</f>
        <v>0</v>
      </c>
      <c r="N612" s="36">
        <f t="shared" si="130"/>
        <v>0</v>
      </c>
      <c r="O612" s="7">
        <f>O613</f>
        <v>0</v>
      </c>
      <c r="P612" s="36">
        <f t="shared" si="125"/>
        <v>0</v>
      </c>
      <c r="Q612" s="7">
        <f>Q613</f>
        <v>0</v>
      </c>
      <c r="R612" s="36">
        <f t="shared" si="126"/>
        <v>0</v>
      </c>
    </row>
    <row r="613" spans="1:18" ht="33" hidden="1">
      <c r="A613" s="62" t="str">
        <f ca="1" t="shared" si="139"/>
        <v>Иные закупки товаров, работ и услуг для обеспечения муниципальных нужд</v>
      </c>
      <c r="B613" s="44" t="s">
        <v>582</v>
      </c>
      <c r="C613" s="8" t="s">
        <v>203</v>
      </c>
      <c r="D613" s="8" t="s">
        <v>227</v>
      </c>
      <c r="E613" s="115">
        <v>240</v>
      </c>
      <c r="F613" s="7">
        <f>F614</f>
        <v>0</v>
      </c>
      <c r="G613" s="7">
        <f>G614</f>
        <v>0</v>
      </c>
      <c r="H613" s="36">
        <f t="shared" si="134"/>
        <v>0</v>
      </c>
      <c r="I613" s="7">
        <f>I614</f>
        <v>0</v>
      </c>
      <c r="J613" s="36">
        <f t="shared" si="131"/>
        <v>0</v>
      </c>
      <c r="K613" s="7">
        <f>K614</f>
        <v>0</v>
      </c>
      <c r="L613" s="36">
        <f t="shared" si="129"/>
        <v>0</v>
      </c>
      <c r="M613" s="7">
        <f>M614</f>
        <v>0</v>
      </c>
      <c r="N613" s="36">
        <f t="shared" si="130"/>
        <v>0</v>
      </c>
      <c r="O613" s="7">
        <f>O614</f>
        <v>0</v>
      </c>
      <c r="P613" s="36">
        <f t="shared" si="125"/>
        <v>0</v>
      </c>
      <c r="Q613" s="7">
        <f>Q614</f>
        <v>0</v>
      </c>
      <c r="R613" s="36">
        <f t="shared" si="126"/>
        <v>0</v>
      </c>
    </row>
    <row r="614" spans="1:18" ht="33" hidden="1">
      <c r="A614" s="62" t="str">
        <f ca="1" t="shared" si="139"/>
        <v xml:space="preserve">Прочая закупка товаров, работ и услуг для обеспечения муниципальных нужд         </v>
      </c>
      <c r="B614" s="44" t="s">
        <v>582</v>
      </c>
      <c r="C614" s="8" t="s">
        <v>203</v>
      </c>
      <c r="D614" s="8" t="s">
        <v>227</v>
      </c>
      <c r="E614" s="115">
        <v>244</v>
      </c>
      <c r="F614" s="7">
        <f>'прил.5'!G757</f>
        <v>0</v>
      </c>
      <c r="G614" s="7">
        <f>'прил.5'!H757</f>
        <v>0</v>
      </c>
      <c r="H614" s="36">
        <f t="shared" si="134"/>
        <v>0</v>
      </c>
      <c r="I614" s="7">
        <f>'прил.5'!J757</f>
        <v>0</v>
      </c>
      <c r="J614" s="36">
        <f t="shared" si="131"/>
        <v>0</v>
      </c>
      <c r="K614" s="7">
        <f>'прил.5'!L757</f>
        <v>0</v>
      </c>
      <c r="L614" s="36">
        <f t="shared" si="129"/>
        <v>0</v>
      </c>
      <c r="M614" s="7">
        <f>'прил.5'!N757</f>
        <v>0</v>
      </c>
      <c r="N614" s="36">
        <f t="shared" si="130"/>
        <v>0</v>
      </c>
      <c r="O614" s="7">
        <f>'прил.5'!P757</f>
        <v>0</v>
      </c>
      <c r="P614" s="36">
        <f t="shared" si="125"/>
        <v>0</v>
      </c>
      <c r="Q614" s="7">
        <f>'прил.5'!R757</f>
        <v>0</v>
      </c>
      <c r="R614" s="36">
        <f t="shared" si="126"/>
        <v>0</v>
      </c>
    </row>
    <row r="615" spans="1:18" ht="33.75" customHeight="1">
      <c r="A615" s="62" t="str">
        <f ca="1" t="shared" si="139"/>
        <v>Предоставление субсидий бюджетным, автономным учреждениям и иным некоммерческим организациям</v>
      </c>
      <c r="B615" s="44" t="s">
        <v>582</v>
      </c>
      <c r="C615" s="8" t="s">
        <v>203</v>
      </c>
      <c r="D615" s="8" t="s">
        <v>227</v>
      </c>
      <c r="E615" s="115">
        <v>600</v>
      </c>
      <c r="F615" s="7">
        <f>F616+F618</f>
        <v>480</v>
      </c>
      <c r="G615" s="7">
        <f>G616+G618</f>
        <v>0</v>
      </c>
      <c r="H615" s="36">
        <f t="shared" si="134"/>
        <v>480</v>
      </c>
      <c r="I615" s="7">
        <f>I616+I618</f>
        <v>0</v>
      </c>
      <c r="J615" s="36">
        <f t="shared" si="131"/>
        <v>480</v>
      </c>
      <c r="K615" s="7">
        <f>K616+K618</f>
        <v>0</v>
      </c>
      <c r="L615" s="36">
        <f t="shared" si="129"/>
        <v>480</v>
      </c>
      <c r="M615" s="7">
        <f>M616+M618</f>
        <v>0</v>
      </c>
      <c r="N615" s="36">
        <f t="shared" si="130"/>
        <v>480</v>
      </c>
      <c r="O615" s="7">
        <f>O616+O618</f>
        <v>0</v>
      </c>
      <c r="P615" s="36">
        <f t="shared" si="125"/>
        <v>480</v>
      </c>
      <c r="Q615" s="7">
        <f>Q616+Q618</f>
        <v>0</v>
      </c>
      <c r="R615" s="36">
        <f t="shared" si="126"/>
        <v>480</v>
      </c>
    </row>
    <row r="616" spans="1:18" ht="12.75">
      <c r="A616" s="62" t="str">
        <f ca="1" t="shared" si="139"/>
        <v>Субсидии бюджетным учреждениям</v>
      </c>
      <c r="B616" s="44" t="s">
        <v>582</v>
      </c>
      <c r="C616" s="8" t="s">
        <v>203</v>
      </c>
      <c r="D616" s="8" t="s">
        <v>227</v>
      </c>
      <c r="E616" s="115">
        <v>610</v>
      </c>
      <c r="F616" s="7">
        <f>F617</f>
        <v>463.4</v>
      </c>
      <c r="G616" s="7">
        <f>G617</f>
        <v>0</v>
      </c>
      <c r="H616" s="36">
        <f t="shared" si="134"/>
        <v>463.4</v>
      </c>
      <c r="I616" s="7">
        <f>I617</f>
        <v>0</v>
      </c>
      <c r="J616" s="36">
        <f t="shared" si="131"/>
        <v>463.4</v>
      </c>
      <c r="K616" s="7">
        <f>K617</f>
        <v>0</v>
      </c>
      <c r="L616" s="36">
        <f t="shared" si="129"/>
        <v>463.4</v>
      </c>
      <c r="M616" s="7">
        <f>M617</f>
        <v>0</v>
      </c>
      <c r="N616" s="36">
        <f t="shared" si="130"/>
        <v>463.4</v>
      </c>
      <c r="O616" s="7">
        <f>O617</f>
        <v>0</v>
      </c>
      <c r="P616" s="36">
        <f t="shared" si="125"/>
        <v>463.4</v>
      </c>
      <c r="Q616" s="7">
        <f>Q617</f>
        <v>0</v>
      </c>
      <c r="R616" s="36">
        <f t="shared" si="126"/>
        <v>463.4</v>
      </c>
    </row>
    <row r="617" spans="1:18" ht="12.75">
      <c r="A617" s="62" t="str">
        <f ca="1" t="shared" si="139"/>
        <v>Субсидии бюджетным учреждениям на иные цели</v>
      </c>
      <c r="B617" s="44" t="s">
        <v>582</v>
      </c>
      <c r="C617" s="8" t="s">
        <v>203</v>
      </c>
      <c r="D617" s="8" t="s">
        <v>227</v>
      </c>
      <c r="E617" s="115">
        <v>612</v>
      </c>
      <c r="F617" s="7">
        <f>'прил.5'!G760</f>
        <v>463.4</v>
      </c>
      <c r="G617" s="7">
        <f>'прил.5'!H760</f>
        <v>0</v>
      </c>
      <c r="H617" s="36">
        <f t="shared" si="134"/>
        <v>463.4</v>
      </c>
      <c r="I617" s="7">
        <f>'прил.5'!J760</f>
        <v>0</v>
      </c>
      <c r="J617" s="36">
        <f t="shared" si="131"/>
        <v>463.4</v>
      </c>
      <c r="K617" s="7">
        <f>'прил.5'!L760</f>
        <v>0</v>
      </c>
      <c r="L617" s="36">
        <f t="shared" si="129"/>
        <v>463.4</v>
      </c>
      <c r="M617" s="7">
        <f>'прил.5'!N760</f>
        <v>0</v>
      </c>
      <c r="N617" s="36">
        <f t="shared" si="130"/>
        <v>463.4</v>
      </c>
      <c r="O617" s="7">
        <f>'прил.5'!P760</f>
        <v>0</v>
      </c>
      <c r="P617" s="36">
        <f t="shared" si="125"/>
        <v>463.4</v>
      </c>
      <c r="Q617" s="7">
        <f>'прил.5'!R760</f>
        <v>0</v>
      </c>
      <c r="R617" s="36">
        <f t="shared" si="126"/>
        <v>463.4</v>
      </c>
    </row>
    <row r="618" spans="1:18" ht="12.75">
      <c r="A618" s="62" t="str">
        <f ca="1" t="shared" si="139"/>
        <v>Субсидии автономным учреждениям</v>
      </c>
      <c r="B618" s="44" t="s">
        <v>582</v>
      </c>
      <c r="C618" s="8" t="s">
        <v>203</v>
      </c>
      <c r="D618" s="8" t="s">
        <v>227</v>
      </c>
      <c r="E618" s="115">
        <v>620</v>
      </c>
      <c r="F618" s="7">
        <f>F619</f>
        <v>16.6</v>
      </c>
      <c r="G618" s="7">
        <f>G619</f>
        <v>0</v>
      </c>
      <c r="H618" s="36">
        <f t="shared" si="134"/>
        <v>16.6</v>
      </c>
      <c r="I618" s="7">
        <f>I619</f>
        <v>0</v>
      </c>
      <c r="J618" s="36">
        <f t="shared" si="131"/>
        <v>16.6</v>
      </c>
      <c r="K618" s="7">
        <f>K619</f>
        <v>0</v>
      </c>
      <c r="L618" s="36">
        <f t="shared" si="129"/>
        <v>16.6</v>
      </c>
      <c r="M618" s="7">
        <f>M619</f>
        <v>0</v>
      </c>
      <c r="N618" s="36">
        <f t="shared" si="130"/>
        <v>16.6</v>
      </c>
      <c r="O618" s="7">
        <f>O619</f>
        <v>0</v>
      </c>
      <c r="P618" s="36">
        <f t="shared" si="125"/>
        <v>16.6</v>
      </c>
      <c r="Q618" s="7">
        <f>Q619</f>
        <v>0</v>
      </c>
      <c r="R618" s="36">
        <f t="shared" si="126"/>
        <v>16.6</v>
      </c>
    </row>
    <row r="619" spans="1:18" ht="12.75">
      <c r="A619" s="62" t="str">
        <f ca="1" t="shared" si="139"/>
        <v>Субсидии автономным учреждениям на иные цели</v>
      </c>
      <c r="B619" s="44" t="s">
        <v>582</v>
      </c>
      <c r="C619" s="8" t="s">
        <v>203</v>
      </c>
      <c r="D619" s="8" t="s">
        <v>227</v>
      </c>
      <c r="E619" s="115">
        <v>622</v>
      </c>
      <c r="F619" s="7">
        <f>'прил.5'!G762</f>
        <v>16.6</v>
      </c>
      <c r="G619" s="7">
        <f>'прил.5'!H762</f>
        <v>0</v>
      </c>
      <c r="H619" s="36">
        <f t="shared" si="134"/>
        <v>16.6</v>
      </c>
      <c r="I619" s="7">
        <f>'прил.5'!J762</f>
        <v>0</v>
      </c>
      <c r="J619" s="36">
        <f t="shared" si="131"/>
        <v>16.6</v>
      </c>
      <c r="K619" s="7">
        <f>'прил.5'!L762</f>
        <v>0</v>
      </c>
      <c r="L619" s="36">
        <f t="shared" si="129"/>
        <v>16.6</v>
      </c>
      <c r="M619" s="7">
        <f>'прил.5'!N762</f>
        <v>0</v>
      </c>
      <c r="N619" s="36">
        <f t="shared" si="130"/>
        <v>16.6</v>
      </c>
      <c r="O619" s="7">
        <f>'прил.5'!P762</f>
        <v>0</v>
      </c>
      <c r="P619" s="36">
        <f t="shared" si="125"/>
        <v>16.6</v>
      </c>
      <c r="Q619" s="7">
        <f>'прил.5'!R762</f>
        <v>0</v>
      </c>
      <c r="R619" s="36">
        <f t="shared" si="126"/>
        <v>16.6</v>
      </c>
    </row>
    <row r="620" spans="1:18" ht="12.75" hidden="1">
      <c r="A620" s="62" t="str">
        <f ca="1">IF(ISERROR(MATCH(C620,Код_Раздел,0)),"",INDIRECT(ADDRESS(MATCH(C620,Код_Раздел,0)+1,2,,,"Раздел")))</f>
        <v>Культура, кинематография</v>
      </c>
      <c r="B620" s="44" t="s">
        <v>582</v>
      </c>
      <c r="C620" s="8" t="s">
        <v>230</v>
      </c>
      <c r="D620" s="1"/>
      <c r="E620" s="115"/>
      <c r="F620" s="7">
        <f aca="true" t="shared" si="140" ref="F620:Q623">F621</f>
        <v>0</v>
      </c>
      <c r="G620" s="7">
        <f t="shared" si="140"/>
        <v>0</v>
      </c>
      <c r="H620" s="36">
        <f t="shared" si="134"/>
        <v>0</v>
      </c>
      <c r="I620" s="7">
        <f t="shared" si="140"/>
        <v>0</v>
      </c>
      <c r="J620" s="36">
        <f t="shared" si="131"/>
        <v>0</v>
      </c>
      <c r="K620" s="7">
        <f t="shared" si="140"/>
        <v>0</v>
      </c>
      <c r="L620" s="36">
        <f t="shared" si="129"/>
        <v>0</v>
      </c>
      <c r="M620" s="7">
        <f t="shared" si="140"/>
        <v>0</v>
      </c>
      <c r="N620" s="36">
        <f t="shared" si="130"/>
        <v>0</v>
      </c>
      <c r="O620" s="7">
        <f t="shared" si="140"/>
        <v>0</v>
      </c>
      <c r="P620" s="36">
        <f aca="true" t="shared" si="141" ref="P620:P683">N620+O620</f>
        <v>0</v>
      </c>
      <c r="Q620" s="7">
        <f t="shared" si="140"/>
        <v>0</v>
      </c>
      <c r="R620" s="36">
        <f aca="true" t="shared" si="142" ref="R620:R683">P620+Q620</f>
        <v>0</v>
      </c>
    </row>
    <row r="621" spans="1:18" ht="12.75" hidden="1">
      <c r="A621" s="12" t="s">
        <v>171</v>
      </c>
      <c r="B621" s="44" t="s">
        <v>582</v>
      </c>
      <c r="C621" s="8" t="s">
        <v>230</v>
      </c>
      <c r="D621" s="1" t="s">
        <v>224</v>
      </c>
      <c r="E621" s="115"/>
      <c r="F621" s="7">
        <f t="shared" si="140"/>
        <v>0</v>
      </c>
      <c r="G621" s="7">
        <f t="shared" si="140"/>
        <v>0</v>
      </c>
      <c r="H621" s="36">
        <f t="shared" si="134"/>
        <v>0</v>
      </c>
      <c r="I621" s="7">
        <f t="shared" si="140"/>
        <v>0</v>
      </c>
      <c r="J621" s="36">
        <f t="shared" si="131"/>
        <v>0</v>
      </c>
      <c r="K621" s="7">
        <f t="shared" si="140"/>
        <v>0</v>
      </c>
      <c r="L621" s="36">
        <f t="shared" si="129"/>
        <v>0</v>
      </c>
      <c r="M621" s="7">
        <f t="shared" si="140"/>
        <v>0</v>
      </c>
      <c r="N621" s="36">
        <f t="shared" si="130"/>
        <v>0</v>
      </c>
      <c r="O621" s="7">
        <f t="shared" si="140"/>
        <v>0</v>
      </c>
      <c r="P621" s="36">
        <f t="shared" si="141"/>
        <v>0</v>
      </c>
      <c r="Q621" s="7">
        <f t="shared" si="140"/>
        <v>0</v>
      </c>
      <c r="R621" s="36">
        <f t="shared" si="142"/>
        <v>0</v>
      </c>
    </row>
    <row r="622" spans="1:18" ht="33" hidden="1">
      <c r="A622" s="62" t="str">
        <f ca="1">IF(ISERROR(MATCH(E622,Код_КВР,0)),"",INDIRECT(ADDRESS(MATCH(E622,Код_КВР,0)+1,2,,,"КВР")))</f>
        <v>Предоставление субсидий бюджетным, автономным учреждениям и иным некоммерческим организациям</v>
      </c>
      <c r="B622" s="44" t="s">
        <v>582</v>
      </c>
      <c r="C622" s="8" t="s">
        <v>230</v>
      </c>
      <c r="D622" s="1" t="s">
        <v>224</v>
      </c>
      <c r="E622" s="115">
        <v>600</v>
      </c>
      <c r="F622" s="7">
        <f t="shared" si="140"/>
        <v>0</v>
      </c>
      <c r="G622" s="7">
        <f t="shared" si="140"/>
        <v>0</v>
      </c>
      <c r="H622" s="36">
        <f t="shared" si="134"/>
        <v>0</v>
      </c>
      <c r="I622" s="7">
        <f t="shared" si="140"/>
        <v>0</v>
      </c>
      <c r="J622" s="36">
        <f t="shared" si="131"/>
        <v>0</v>
      </c>
      <c r="K622" s="7">
        <f t="shared" si="140"/>
        <v>0</v>
      </c>
      <c r="L622" s="36">
        <f t="shared" si="129"/>
        <v>0</v>
      </c>
      <c r="M622" s="7">
        <f t="shared" si="140"/>
        <v>0</v>
      </c>
      <c r="N622" s="36">
        <f t="shared" si="130"/>
        <v>0</v>
      </c>
      <c r="O622" s="7">
        <f t="shared" si="140"/>
        <v>0</v>
      </c>
      <c r="P622" s="36">
        <f t="shared" si="141"/>
        <v>0</v>
      </c>
      <c r="Q622" s="7">
        <f t="shared" si="140"/>
        <v>0</v>
      </c>
      <c r="R622" s="36">
        <f t="shared" si="142"/>
        <v>0</v>
      </c>
    </row>
    <row r="623" spans="1:18" ht="12.75" hidden="1">
      <c r="A623" s="62" t="str">
        <f ca="1">IF(ISERROR(MATCH(E623,Код_КВР,0)),"",INDIRECT(ADDRESS(MATCH(E623,Код_КВР,0)+1,2,,,"КВР")))</f>
        <v>Субсидии бюджетным учреждениям</v>
      </c>
      <c r="B623" s="44" t="s">
        <v>582</v>
      </c>
      <c r="C623" s="8" t="s">
        <v>230</v>
      </c>
      <c r="D623" s="1" t="s">
        <v>224</v>
      </c>
      <c r="E623" s="115">
        <v>610</v>
      </c>
      <c r="F623" s="7">
        <f t="shared" si="140"/>
        <v>0</v>
      </c>
      <c r="G623" s="7">
        <f t="shared" si="140"/>
        <v>0</v>
      </c>
      <c r="H623" s="36">
        <f t="shared" si="134"/>
        <v>0</v>
      </c>
      <c r="I623" s="7">
        <f t="shared" si="140"/>
        <v>0</v>
      </c>
      <c r="J623" s="36">
        <f t="shared" si="131"/>
        <v>0</v>
      </c>
      <c r="K623" s="7">
        <f t="shared" si="140"/>
        <v>0</v>
      </c>
      <c r="L623" s="36">
        <f t="shared" si="129"/>
        <v>0</v>
      </c>
      <c r="M623" s="7">
        <f t="shared" si="140"/>
        <v>0</v>
      </c>
      <c r="N623" s="36">
        <f t="shared" si="130"/>
        <v>0</v>
      </c>
      <c r="O623" s="7">
        <f t="shared" si="140"/>
        <v>0</v>
      </c>
      <c r="P623" s="36">
        <f t="shared" si="141"/>
        <v>0</v>
      </c>
      <c r="Q623" s="7">
        <f t="shared" si="140"/>
        <v>0</v>
      </c>
      <c r="R623" s="36">
        <f t="shared" si="142"/>
        <v>0</v>
      </c>
    </row>
    <row r="624" spans="1:18" ht="12.75" hidden="1">
      <c r="A624" s="62" t="str">
        <f ca="1">IF(ISERROR(MATCH(E624,Код_КВР,0)),"",INDIRECT(ADDRESS(MATCH(E624,Код_КВР,0)+1,2,,,"КВР")))</f>
        <v>Субсидии бюджетным учреждениям на иные цели</v>
      </c>
      <c r="B624" s="44" t="s">
        <v>582</v>
      </c>
      <c r="C624" s="8" t="s">
        <v>230</v>
      </c>
      <c r="D624" s="1" t="s">
        <v>224</v>
      </c>
      <c r="E624" s="115">
        <v>612</v>
      </c>
      <c r="F624" s="7">
        <f>'прил.5'!G1090</f>
        <v>0</v>
      </c>
      <c r="G624" s="7">
        <f>'прил.5'!H1090</f>
        <v>0</v>
      </c>
      <c r="H624" s="36">
        <f t="shared" si="134"/>
        <v>0</v>
      </c>
      <c r="I624" s="7">
        <f>'прил.5'!J1090</f>
        <v>0</v>
      </c>
      <c r="J624" s="36">
        <f t="shared" si="131"/>
        <v>0</v>
      </c>
      <c r="K624" s="7">
        <f>'прил.5'!L1090</f>
        <v>0</v>
      </c>
      <c r="L624" s="36">
        <f t="shared" si="129"/>
        <v>0</v>
      </c>
      <c r="M624" s="7">
        <f>'прил.5'!N1090</f>
        <v>0</v>
      </c>
      <c r="N624" s="36">
        <f t="shared" si="130"/>
        <v>0</v>
      </c>
      <c r="O624" s="7">
        <f>'прил.5'!P1090</f>
        <v>0</v>
      </c>
      <c r="P624" s="36">
        <f t="shared" si="141"/>
        <v>0</v>
      </c>
      <c r="Q624" s="7">
        <f>'прил.5'!R1090</f>
        <v>0</v>
      </c>
      <c r="R624" s="36">
        <f t="shared" si="142"/>
        <v>0</v>
      </c>
    </row>
    <row r="625" spans="1:18" ht="12.75" hidden="1">
      <c r="A625" s="62" t="str">
        <f ca="1">IF(ISERROR(MATCH(C625,Код_Раздел,0)),"",INDIRECT(ADDRESS(MATCH(C625,Код_Раздел,0)+1,2,,,"Раздел")))</f>
        <v>Физическая культура и спорт</v>
      </c>
      <c r="B625" s="44" t="s">
        <v>582</v>
      </c>
      <c r="C625" s="8" t="s">
        <v>232</v>
      </c>
      <c r="D625" s="8"/>
      <c r="E625" s="115"/>
      <c r="F625" s="7">
        <f aca="true" t="shared" si="143" ref="F625:Q628">F626</f>
        <v>0</v>
      </c>
      <c r="G625" s="7">
        <f t="shared" si="143"/>
        <v>0</v>
      </c>
      <c r="H625" s="36">
        <f t="shared" si="134"/>
        <v>0</v>
      </c>
      <c r="I625" s="7">
        <f t="shared" si="143"/>
        <v>0</v>
      </c>
      <c r="J625" s="36">
        <f t="shared" si="131"/>
        <v>0</v>
      </c>
      <c r="K625" s="7">
        <f t="shared" si="143"/>
        <v>0</v>
      </c>
      <c r="L625" s="36">
        <f t="shared" si="129"/>
        <v>0</v>
      </c>
      <c r="M625" s="7">
        <f t="shared" si="143"/>
        <v>0</v>
      </c>
      <c r="N625" s="36">
        <f t="shared" si="130"/>
        <v>0</v>
      </c>
      <c r="O625" s="7">
        <f t="shared" si="143"/>
        <v>0</v>
      </c>
      <c r="P625" s="36">
        <f t="shared" si="141"/>
        <v>0</v>
      </c>
      <c r="Q625" s="7">
        <f t="shared" si="143"/>
        <v>0</v>
      </c>
      <c r="R625" s="36">
        <f t="shared" si="142"/>
        <v>0</v>
      </c>
    </row>
    <row r="626" spans="1:18" ht="12.75" hidden="1">
      <c r="A626" s="12" t="s">
        <v>194</v>
      </c>
      <c r="B626" s="44" t="s">
        <v>582</v>
      </c>
      <c r="C626" s="8" t="s">
        <v>232</v>
      </c>
      <c r="D626" s="1" t="s">
        <v>221</v>
      </c>
      <c r="E626" s="115"/>
      <c r="F626" s="7">
        <f t="shared" si="143"/>
        <v>0</v>
      </c>
      <c r="G626" s="7">
        <f t="shared" si="143"/>
        <v>0</v>
      </c>
      <c r="H626" s="36">
        <f t="shared" si="134"/>
        <v>0</v>
      </c>
      <c r="I626" s="7">
        <f t="shared" si="143"/>
        <v>0</v>
      </c>
      <c r="J626" s="36">
        <f t="shared" si="131"/>
        <v>0</v>
      </c>
      <c r="K626" s="7">
        <f t="shared" si="143"/>
        <v>0</v>
      </c>
      <c r="L626" s="36">
        <f t="shared" si="129"/>
        <v>0</v>
      </c>
      <c r="M626" s="7">
        <f t="shared" si="143"/>
        <v>0</v>
      </c>
      <c r="N626" s="36">
        <f t="shared" si="130"/>
        <v>0</v>
      </c>
      <c r="O626" s="7">
        <f t="shared" si="143"/>
        <v>0</v>
      </c>
      <c r="P626" s="36">
        <f t="shared" si="141"/>
        <v>0</v>
      </c>
      <c r="Q626" s="7">
        <f t="shared" si="143"/>
        <v>0</v>
      </c>
      <c r="R626" s="36">
        <f t="shared" si="142"/>
        <v>0</v>
      </c>
    </row>
    <row r="627" spans="1:18" ht="33" hidden="1">
      <c r="A627" s="62" t="str">
        <f ca="1">IF(ISERROR(MATCH(E627,Код_КВР,0)),"",INDIRECT(ADDRESS(MATCH(E627,Код_КВР,0)+1,2,,,"КВР")))</f>
        <v>Предоставление субсидий бюджетным, автономным учреждениям и иным некоммерческим организациям</v>
      </c>
      <c r="B627" s="44" t="s">
        <v>582</v>
      </c>
      <c r="C627" s="8" t="s">
        <v>232</v>
      </c>
      <c r="D627" s="1" t="s">
        <v>221</v>
      </c>
      <c r="E627" s="115">
        <v>600</v>
      </c>
      <c r="F627" s="7">
        <f t="shared" si="143"/>
        <v>0</v>
      </c>
      <c r="G627" s="7">
        <f t="shared" si="143"/>
        <v>0</v>
      </c>
      <c r="H627" s="36">
        <f t="shared" si="134"/>
        <v>0</v>
      </c>
      <c r="I627" s="7">
        <f t="shared" si="143"/>
        <v>0</v>
      </c>
      <c r="J627" s="36">
        <f t="shared" si="131"/>
        <v>0</v>
      </c>
      <c r="K627" s="7">
        <f t="shared" si="143"/>
        <v>0</v>
      </c>
      <c r="L627" s="36">
        <f t="shared" si="129"/>
        <v>0</v>
      </c>
      <c r="M627" s="7">
        <f t="shared" si="143"/>
        <v>0</v>
      </c>
      <c r="N627" s="36">
        <f t="shared" si="130"/>
        <v>0</v>
      </c>
      <c r="O627" s="7">
        <f t="shared" si="143"/>
        <v>0</v>
      </c>
      <c r="P627" s="36">
        <f t="shared" si="141"/>
        <v>0</v>
      </c>
      <c r="Q627" s="7">
        <f t="shared" si="143"/>
        <v>0</v>
      </c>
      <c r="R627" s="36">
        <f t="shared" si="142"/>
        <v>0</v>
      </c>
    </row>
    <row r="628" spans="1:18" ht="12.75" hidden="1">
      <c r="A628" s="62" t="str">
        <f ca="1">IF(ISERROR(MATCH(E628,Код_КВР,0)),"",INDIRECT(ADDRESS(MATCH(E628,Код_КВР,0)+1,2,,,"КВР")))</f>
        <v>Субсидии автономным учреждениям</v>
      </c>
      <c r="B628" s="44" t="s">
        <v>582</v>
      </c>
      <c r="C628" s="8" t="s">
        <v>232</v>
      </c>
      <c r="D628" s="1" t="s">
        <v>221</v>
      </c>
      <c r="E628" s="115">
        <v>620</v>
      </c>
      <c r="F628" s="7">
        <f t="shared" si="143"/>
        <v>0</v>
      </c>
      <c r="G628" s="7">
        <f t="shared" si="143"/>
        <v>0</v>
      </c>
      <c r="H628" s="36">
        <f t="shared" si="134"/>
        <v>0</v>
      </c>
      <c r="I628" s="7">
        <f t="shared" si="143"/>
        <v>0</v>
      </c>
      <c r="J628" s="36">
        <f t="shared" si="131"/>
        <v>0</v>
      </c>
      <c r="K628" s="7">
        <f t="shared" si="143"/>
        <v>0</v>
      </c>
      <c r="L628" s="36">
        <f aca="true" t="shared" si="144" ref="L628:L691">J628+K628</f>
        <v>0</v>
      </c>
      <c r="M628" s="7">
        <f t="shared" si="143"/>
        <v>0</v>
      </c>
      <c r="N628" s="36">
        <f aca="true" t="shared" si="145" ref="N628:N691">L628+M628</f>
        <v>0</v>
      </c>
      <c r="O628" s="7">
        <f t="shared" si="143"/>
        <v>0</v>
      </c>
      <c r="P628" s="36">
        <f t="shared" si="141"/>
        <v>0</v>
      </c>
      <c r="Q628" s="7">
        <f t="shared" si="143"/>
        <v>0</v>
      </c>
      <c r="R628" s="36">
        <f t="shared" si="142"/>
        <v>0</v>
      </c>
    </row>
    <row r="629" spans="1:18" ht="12.75" hidden="1">
      <c r="A629" s="62" t="str">
        <f ca="1">IF(ISERROR(MATCH(E629,Код_КВР,0)),"",INDIRECT(ADDRESS(MATCH(E629,Код_КВР,0)+1,2,,,"КВР")))</f>
        <v>Субсидии автономным учреждениям на иные цели</v>
      </c>
      <c r="B629" s="44" t="s">
        <v>582</v>
      </c>
      <c r="C629" s="8" t="s">
        <v>232</v>
      </c>
      <c r="D629" s="1" t="s">
        <v>221</v>
      </c>
      <c r="E629" s="115">
        <v>622</v>
      </c>
      <c r="F629" s="7">
        <f>'прил.5'!G1204</f>
        <v>0</v>
      </c>
      <c r="G629" s="7">
        <f>'прил.5'!H1204</f>
        <v>0</v>
      </c>
      <c r="H629" s="36">
        <f t="shared" si="134"/>
        <v>0</v>
      </c>
      <c r="I629" s="7">
        <f>'прил.5'!J1204</f>
        <v>0</v>
      </c>
      <c r="J629" s="36">
        <f t="shared" si="131"/>
        <v>0</v>
      </c>
      <c r="K629" s="7">
        <f>'прил.5'!L1204</f>
        <v>0</v>
      </c>
      <c r="L629" s="36">
        <f t="shared" si="144"/>
        <v>0</v>
      </c>
      <c r="M629" s="7">
        <f>'прил.5'!N1204</f>
        <v>0</v>
      </c>
      <c r="N629" s="36">
        <f t="shared" si="145"/>
        <v>0</v>
      </c>
      <c r="O629" s="7">
        <f>'прил.5'!P1204</f>
        <v>0</v>
      </c>
      <c r="P629" s="36">
        <f t="shared" si="141"/>
        <v>0</v>
      </c>
      <c r="Q629" s="7">
        <f>'прил.5'!R1204</f>
        <v>0</v>
      </c>
      <c r="R629" s="36">
        <f t="shared" si="142"/>
        <v>0</v>
      </c>
    </row>
    <row r="630" spans="1:18" ht="12.75">
      <c r="A630" s="62" t="str">
        <f ca="1">IF(ISERROR(MATCH(B630,Код_КЦСР,0)),"",INDIRECT(ADDRESS(MATCH(B630,Код_КЦСР,0)+1,2,,,"КЦСР")))</f>
        <v>Пропаганда здорового образа жизни</v>
      </c>
      <c r="B630" s="44" t="s">
        <v>584</v>
      </c>
      <c r="C630" s="8"/>
      <c r="D630" s="1"/>
      <c r="E630" s="115"/>
      <c r="F630" s="7">
        <f>F631+F636+F645</f>
        <v>729.4</v>
      </c>
      <c r="G630" s="7">
        <f>G631+G636+G645</f>
        <v>0</v>
      </c>
      <c r="H630" s="36">
        <f t="shared" si="134"/>
        <v>729.4</v>
      </c>
      <c r="I630" s="7">
        <f>I631+I636+I645</f>
        <v>0</v>
      </c>
      <c r="J630" s="36">
        <f t="shared" si="131"/>
        <v>729.4</v>
      </c>
      <c r="K630" s="7">
        <f>K631+K636+K645</f>
        <v>0</v>
      </c>
      <c r="L630" s="36">
        <f t="shared" si="144"/>
        <v>729.4</v>
      </c>
      <c r="M630" s="7">
        <f>M631+M636+M645</f>
        <v>0</v>
      </c>
      <c r="N630" s="36">
        <f t="shared" si="145"/>
        <v>729.4</v>
      </c>
      <c r="O630" s="7">
        <f>O631+O636+O645</f>
        <v>0</v>
      </c>
      <c r="P630" s="36">
        <f t="shared" si="141"/>
        <v>729.4</v>
      </c>
      <c r="Q630" s="7">
        <f>Q631+Q636+Q645</f>
        <v>-15.7</v>
      </c>
      <c r="R630" s="36">
        <f t="shared" si="142"/>
        <v>713.6999999999999</v>
      </c>
    </row>
    <row r="631" spans="1:18" ht="12.75">
      <c r="A631" s="62" t="str">
        <f ca="1">IF(ISERROR(MATCH(C631,Код_Раздел,0)),"",INDIRECT(ADDRESS(MATCH(C631,Код_Раздел,0)+1,2,,,"Раздел")))</f>
        <v>Общегосударственные  вопросы</v>
      </c>
      <c r="B631" s="44" t="s">
        <v>584</v>
      </c>
      <c r="C631" s="8" t="s">
        <v>221</v>
      </c>
      <c r="D631" s="1"/>
      <c r="E631" s="115"/>
      <c r="F631" s="7">
        <f aca="true" t="shared" si="146" ref="F631:Q634">F632</f>
        <v>399.4</v>
      </c>
      <c r="G631" s="7">
        <f t="shared" si="146"/>
        <v>0</v>
      </c>
      <c r="H631" s="36">
        <f t="shared" si="134"/>
        <v>399.4</v>
      </c>
      <c r="I631" s="7">
        <f t="shared" si="146"/>
        <v>0</v>
      </c>
      <c r="J631" s="36">
        <f t="shared" si="131"/>
        <v>399.4</v>
      </c>
      <c r="K631" s="7">
        <f t="shared" si="146"/>
        <v>0</v>
      </c>
      <c r="L631" s="36">
        <f t="shared" si="144"/>
        <v>399.4</v>
      </c>
      <c r="M631" s="7">
        <f t="shared" si="146"/>
        <v>0</v>
      </c>
      <c r="N631" s="36">
        <f t="shared" si="145"/>
        <v>399.4</v>
      </c>
      <c r="O631" s="7">
        <f t="shared" si="146"/>
        <v>0</v>
      </c>
      <c r="P631" s="36">
        <f t="shared" si="141"/>
        <v>399.4</v>
      </c>
      <c r="Q631" s="7">
        <f t="shared" si="146"/>
        <v>-15.7</v>
      </c>
      <c r="R631" s="36">
        <f t="shared" si="142"/>
        <v>383.7</v>
      </c>
    </row>
    <row r="632" spans="1:18" ht="12.75">
      <c r="A632" s="12" t="s">
        <v>245</v>
      </c>
      <c r="B632" s="44" t="s">
        <v>584</v>
      </c>
      <c r="C632" s="8" t="s">
        <v>221</v>
      </c>
      <c r="D632" s="1" t="s">
        <v>198</v>
      </c>
      <c r="E632" s="115"/>
      <c r="F632" s="7">
        <f t="shared" si="146"/>
        <v>399.4</v>
      </c>
      <c r="G632" s="7">
        <f t="shared" si="146"/>
        <v>0</v>
      </c>
      <c r="H632" s="36">
        <f t="shared" si="134"/>
        <v>399.4</v>
      </c>
      <c r="I632" s="7">
        <f t="shared" si="146"/>
        <v>0</v>
      </c>
      <c r="J632" s="36">
        <f t="shared" si="131"/>
        <v>399.4</v>
      </c>
      <c r="K632" s="7">
        <f t="shared" si="146"/>
        <v>0</v>
      </c>
      <c r="L632" s="36">
        <f t="shared" si="144"/>
        <v>399.4</v>
      </c>
      <c r="M632" s="7">
        <f t="shared" si="146"/>
        <v>0</v>
      </c>
      <c r="N632" s="36">
        <f t="shared" si="145"/>
        <v>399.4</v>
      </c>
      <c r="O632" s="7">
        <f t="shared" si="146"/>
        <v>0</v>
      </c>
      <c r="P632" s="36">
        <f t="shared" si="141"/>
        <v>399.4</v>
      </c>
      <c r="Q632" s="7">
        <f t="shared" si="146"/>
        <v>-15.7</v>
      </c>
      <c r="R632" s="36">
        <f t="shared" si="142"/>
        <v>383.7</v>
      </c>
    </row>
    <row r="633" spans="1:18" ht="12.75">
      <c r="A633" s="62" t="str">
        <f ca="1">IF(ISERROR(MATCH(E633,Код_КВР,0)),"",INDIRECT(ADDRESS(MATCH(E633,Код_КВР,0)+1,2,,,"КВР")))</f>
        <v>Закупка товаров, работ и услуг для муниципальных нужд</v>
      </c>
      <c r="B633" s="44" t="s">
        <v>584</v>
      </c>
      <c r="C633" s="8" t="s">
        <v>221</v>
      </c>
      <c r="D633" s="1" t="s">
        <v>198</v>
      </c>
      <c r="E633" s="115">
        <v>200</v>
      </c>
      <c r="F633" s="7">
        <f t="shared" si="146"/>
        <v>399.4</v>
      </c>
      <c r="G633" s="7">
        <f t="shared" si="146"/>
        <v>0</v>
      </c>
      <c r="H633" s="36">
        <f t="shared" si="134"/>
        <v>399.4</v>
      </c>
      <c r="I633" s="7">
        <f t="shared" si="146"/>
        <v>0</v>
      </c>
      <c r="J633" s="36">
        <f t="shared" si="131"/>
        <v>399.4</v>
      </c>
      <c r="K633" s="7">
        <f t="shared" si="146"/>
        <v>0</v>
      </c>
      <c r="L633" s="36">
        <f t="shared" si="144"/>
        <v>399.4</v>
      </c>
      <c r="M633" s="7">
        <f t="shared" si="146"/>
        <v>0</v>
      </c>
      <c r="N633" s="36">
        <f t="shared" si="145"/>
        <v>399.4</v>
      </c>
      <c r="O633" s="7">
        <f t="shared" si="146"/>
        <v>0</v>
      </c>
      <c r="P633" s="36">
        <f t="shared" si="141"/>
        <v>399.4</v>
      </c>
      <c r="Q633" s="7">
        <f t="shared" si="146"/>
        <v>-15.7</v>
      </c>
      <c r="R633" s="36">
        <f t="shared" si="142"/>
        <v>383.7</v>
      </c>
    </row>
    <row r="634" spans="1:18" ht="36.75" customHeight="1">
      <c r="A634" s="62" t="str">
        <f ca="1">IF(ISERROR(MATCH(E634,Код_КВР,0)),"",INDIRECT(ADDRESS(MATCH(E634,Код_КВР,0)+1,2,,,"КВР")))</f>
        <v>Иные закупки товаров, работ и услуг для обеспечения муниципальных нужд</v>
      </c>
      <c r="B634" s="44" t="s">
        <v>584</v>
      </c>
      <c r="C634" s="8" t="s">
        <v>221</v>
      </c>
      <c r="D634" s="1" t="s">
        <v>198</v>
      </c>
      <c r="E634" s="115">
        <v>240</v>
      </c>
      <c r="F634" s="7">
        <f t="shared" si="146"/>
        <v>399.4</v>
      </c>
      <c r="G634" s="7">
        <f t="shared" si="146"/>
        <v>0</v>
      </c>
      <c r="H634" s="36">
        <f t="shared" si="134"/>
        <v>399.4</v>
      </c>
      <c r="I634" s="7">
        <f t="shared" si="146"/>
        <v>0</v>
      </c>
      <c r="J634" s="36">
        <f aca="true" t="shared" si="147" ref="J634:J697">H634+I634</f>
        <v>399.4</v>
      </c>
      <c r="K634" s="7">
        <f t="shared" si="146"/>
        <v>0</v>
      </c>
      <c r="L634" s="36">
        <f t="shared" si="144"/>
        <v>399.4</v>
      </c>
      <c r="M634" s="7">
        <f t="shared" si="146"/>
        <v>0</v>
      </c>
      <c r="N634" s="36">
        <f t="shared" si="145"/>
        <v>399.4</v>
      </c>
      <c r="O634" s="7">
        <f t="shared" si="146"/>
        <v>0</v>
      </c>
      <c r="P634" s="36">
        <f t="shared" si="141"/>
        <v>399.4</v>
      </c>
      <c r="Q634" s="7">
        <f t="shared" si="146"/>
        <v>-15.7</v>
      </c>
      <c r="R634" s="36">
        <f t="shared" si="142"/>
        <v>383.7</v>
      </c>
    </row>
    <row r="635" spans="1:18" ht="37.5" customHeight="1">
      <c r="A635" s="62" t="str">
        <f ca="1">IF(ISERROR(MATCH(E635,Код_КВР,0)),"",INDIRECT(ADDRESS(MATCH(E635,Код_КВР,0)+1,2,,,"КВР")))</f>
        <v xml:space="preserve">Прочая закупка товаров, работ и услуг для обеспечения муниципальных нужд         </v>
      </c>
      <c r="B635" s="44" t="s">
        <v>584</v>
      </c>
      <c r="C635" s="8" t="s">
        <v>221</v>
      </c>
      <c r="D635" s="1" t="s">
        <v>198</v>
      </c>
      <c r="E635" s="115">
        <v>244</v>
      </c>
      <c r="F635" s="7">
        <f>'прил.5'!G105</f>
        <v>399.4</v>
      </c>
      <c r="G635" s="7">
        <f>'прил.5'!H105</f>
        <v>0</v>
      </c>
      <c r="H635" s="36">
        <f t="shared" si="134"/>
        <v>399.4</v>
      </c>
      <c r="I635" s="7">
        <f>'прил.5'!J105</f>
        <v>0</v>
      </c>
      <c r="J635" s="36">
        <f t="shared" si="147"/>
        <v>399.4</v>
      </c>
      <c r="K635" s="7">
        <f>'прил.5'!L105</f>
        <v>0</v>
      </c>
      <c r="L635" s="36">
        <f t="shared" si="144"/>
        <v>399.4</v>
      </c>
      <c r="M635" s="7">
        <f>'прил.5'!N105</f>
        <v>0</v>
      </c>
      <c r="N635" s="36">
        <f t="shared" si="145"/>
        <v>399.4</v>
      </c>
      <c r="O635" s="7">
        <f>'прил.5'!P105</f>
        <v>0</v>
      </c>
      <c r="P635" s="36">
        <f t="shared" si="141"/>
        <v>399.4</v>
      </c>
      <c r="Q635" s="7">
        <f>'прил.5'!R105</f>
        <v>-15.7</v>
      </c>
      <c r="R635" s="36">
        <f t="shared" si="142"/>
        <v>383.7</v>
      </c>
    </row>
    <row r="636" spans="1:18" ht="12.75">
      <c r="A636" s="62" t="str">
        <f ca="1">IF(ISERROR(MATCH(C636,Код_Раздел,0)),"",INDIRECT(ADDRESS(MATCH(C636,Код_Раздел,0)+1,2,,,"Раздел")))</f>
        <v>Образование</v>
      </c>
      <c r="B636" s="44" t="s">
        <v>584</v>
      </c>
      <c r="C636" s="8" t="s">
        <v>203</v>
      </c>
      <c r="D636" s="1"/>
      <c r="E636" s="115"/>
      <c r="F636" s="7">
        <f>F637+F641</f>
        <v>330</v>
      </c>
      <c r="G636" s="7">
        <f>G637+G641</f>
        <v>0</v>
      </c>
      <c r="H636" s="36">
        <f t="shared" si="134"/>
        <v>330</v>
      </c>
      <c r="I636" s="7">
        <f>I637+I641</f>
        <v>0</v>
      </c>
      <c r="J636" s="36">
        <f t="shared" si="147"/>
        <v>330</v>
      </c>
      <c r="K636" s="7">
        <f>K637+K641</f>
        <v>0</v>
      </c>
      <c r="L636" s="36">
        <f t="shared" si="144"/>
        <v>330</v>
      </c>
      <c r="M636" s="7">
        <f>M637+M641</f>
        <v>0</v>
      </c>
      <c r="N636" s="36">
        <f t="shared" si="145"/>
        <v>330</v>
      </c>
      <c r="O636" s="7">
        <f>O637+O641</f>
        <v>0</v>
      </c>
      <c r="P636" s="36">
        <f t="shared" si="141"/>
        <v>330</v>
      </c>
      <c r="Q636" s="7">
        <f>Q637+Q641</f>
        <v>0</v>
      </c>
      <c r="R636" s="36">
        <f t="shared" si="142"/>
        <v>330</v>
      </c>
    </row>
    <row r="637" spans="1:18" ht="12.75">
      <c r="A637" s="12" t="s">
        <v>207</v>
      </c>
      <c r="B637" s="44" t="s">
        <v>584</v>
      </c>
      <c r="C637" s="8" t="s">
        <v>203</v>
      </c>
      <c r="D637" s="1" t="s">
        <v>203</v>
      </c>
      <c r="E637" s="115"/>
      <c r="F637" s="7">
        <f aca="true" t="shared" si="148" ref="F637:Q639">F638</f>
        <v>330</v>
      </c>
      <c r="G637" s="7">
        <f t="shared" si="148"/>
        <v>0</v>
      </c>
      <c r="H637" s="36">
        <f t="shared" si="134"/>
        <v>330</v>
      </c>
      <c r="I637" s="7">
        <f t="shared" si="148"/>
        <v>0</v>
      </c>
      <c r="J637" s="36">
        <f t="shared" si="147"/>
        <v>330</v>
      </c>
      <c r="K637" s="7">
        <f t="shared" si="148"/>
        <v>0</v>
      </c>
      <c r="L637" s="36">
        <f t="shared" si="144"/>
        <v>330</v>
      </c>
      <c r="M637" s="7">
        <f t="shared" si="148"/>
        <v>0</v>
      </c>
      <c r="N637" s="36">
        <f t="shared" si="145"/>
        <v>330</v>
      </c>
      <c r="O637" s="7">
        <f t="shared" si="148"/>
        <v>0</v>
      </c>
      <c r="P637" s="36">
        <f t="shared" si="141"/>
        <v>330</v>
      </c>
      <c r="Q637" s="7">
        <f t="shared" si="148"/>
        <v>0</v>
      </c>
      <c r="R637" s="36">
        <f t="shared" si="142"/>
        <v>330</v>
      </c>
    </row>
    <row r="638" spans="1:18" ht="36.75" customHeight="1">
      <c r="A638" s="62" t="str">
        <f ca="1">IF(ISERROR(MATCH(E638,Код_КВР,0)),"",INDIRECT(ADDRESS(MATCH(E638,Код_КВР,0)+1,2,,,"КВР")))</f>
        <v>Предоставление субсидий бюджетным, автономным учреждениям и иным некоммерческим организациям</v>
      </c>
      <c r="B638" s="44" t="s">
        <v>584</v>
      </c>
      <c r="C638" s="8" t="s">
        <v>203</v>
      </c>
      <c r="D638" s="1" t="s">
        <v>203</v>
      </c>
      <c r="E638" s="115">
        <v>600</v>
      </c>
      <c r="F638" s="7">
        <f t="shared" si="148"/>
        <v>330</v>
      </c>
      <c r="G638" s="7">
        <f t="shared" si="148"/>
        <v>0</v>
      </c>
      <c r="H638" s="36">
        <f t="shared" si="134"/>
        <v>330</v>
      </c>
      <c r="I638" s="7">
        <f t="shared" si="148"/>
        <v>0</v>
      </c>
      <c r="J638" s="36">
        <f t="shared" si="147"/>
        <v>330</v>
      </c>
      <c r="K638" s="7">
        <f t="shared" si="148"/>
        <v>0</v>
      </c>
      <c r="L638" s="36">
        <f t="shared" si="144"/>
        <v>330</v>
      </c>
      <c r="M638" s="7">
        <f t="shared" si="148"/>
        <v>0</v>
      </c>
      <c r="N638" s="36">
        <f t="shared" si="145"/>
        <v>330</v>
      </c>
      <c r="O638" s="7">
        <f t="shared" si="148"/>
        <v>0</v>
      </c>
      <c r="P638" s="36">
        <f t="shared" si="141"/>
        <v>330</v>
      </c>
      <c r="Q638" s="7">
        <f t="shared" si="148"/>
        <v>0</v>
      </c>
      <c r="R638" s="36">
        <f t="shared" si="142"/>
        <v>330</v>
      </c>
    </row>
    <row r="639" spans="1:18" ht="12.75">
      <c r="A639" s="62" t="str">
        <f ca="1">IF(ISERROR(MATCH(E639,Код_КВР,0)),"",INDIRECT(ADDRESS(MATCH(E639,Код_КВР,0)+1,2,,,"КВР")))</f>
        <v>Субсидии бюджетным учреждениям</v>
      </c>
      <c r="B639" s="44" t="s">
        <v>584</v>
      </c>
      <c r="C639" s="8" t="s">
        <v>203</v>
      </c>
      <c r="D639" s="1" t="s">
        <v>203</v>
      </c>
      <c r="E639" s="115">
        <v>610</v>
      </c>
      <c r="F639" s="7">
        <f t="shared" si="148"/>
        <v>330</v>
      </c>
      <c r="G639" s="7">
        <f t="shared" si="148"/>
        <v>0</v>
      </c>
      <c r="H639" s="36">
        <f t="shared" si="134"/>
        <v>330</v>
      </c>
      <c r="I639" s="7">
        <f t="shared" si="148"/>
        <v>0</v>
      </c>
      <c r="J639" s="36">
        <f t="shared" si="147"/>
        <v>330</v>
      </c>
      <c r="K639" s="7">
        <f t="shared" si="148"/>
        <v>0</v>
      </c>
      <c r="L639" s="36">
        <f t="shared" si="144"/>
        <v>330</v>
      </c>
      <c r="M639" s="7">
        <f t="shared" si="148"/>
        <v>0</v>
      </c>
      <c r="N639" s="36">
        <f t="shared" si="145"/>
        <v>330</v>
      </c>
      <c r="O639" s="7">
        <f t="shared" si="148"/>
        <v>0</v>
      </c>
      <c r="P639" s="36">
        <f t="shared" si="141"/>
        <v>330</v>
      </c>
      <c r="Q639" s="7">
        <f t="shared" si="148"/>
        <v>0</v>
      </c>
      <c r="R639" s="36">
        <f t="shared" si="142"/>
        <v>330</v>
      </c>
    </row>
    <row r="640" spans="1:18" ht="12.75">
      <c r="A640" s="62" t="str">
        <f ca="1">IF(ISERROR(MATCH(E640,Код_КВР,0)),"",INDIRECT(ADDRESS(MATCH(E640,Код_КВР,0)+1,2,,,"КВР")))</f>
        <v>Субсидии бюджетным учреждениям на иные цели</v>
      </c>
      <c r="B640" s="44" t="s">
        <v>584</v>
      </c>
      <c r="C640" s="8" t="s">
        <v>203</v>
      </c>
      <c r="D640" s="1" t="s">
        <v>203</v>
      </c>
      <c r="E640" s="115">
        <v>612</v>
      </c>
      <c r="F640" s="7">
        <f>'прил.5'!G315</f>
        <v>330</v>
      </c>
      <c r="G640" s="7">
        <f>'прил.5'!H315</f>
        <v>0</v>
      </c>
      <c r="H640" s="36">
        <f t="shared" si="134"/>
        <v>330</v>
      </c>
      <c r="I640" s="7">
        <f>'прил.5'!J315</f>
        <v>0</v>
      </c>
      <c r="J640" s="36">
        <f t="shared" si="147"/>
        <v>330</v>
      </c>
      <c r="K640" s="7">
        <f>'прил.5'!L315</f>
        <v>0</v>
      </c>
      <c r="L640" s="36">
        <f t="shared" si="144"/>
        <v>330</v>
      </c>
      <c r="M640" s="7">
        <f>'прил.5'!N315</f>
        <v>0</v>
      </c>
      <c r="N640" s="36">
        <f t="shared" si="145"/>
        <v>330</v>
      </c>
      <c r="O640" s="7">
        <f>'прил.5'!P315</f>
        <v>0</v>
      </c>
      <c r="P640" s="36">
        <f t="shared" si="141"/>
        <v>330</v>
      </c>
      <c r="Q640" s="7">
        <f>'прил.5'!R315</f>
        <v>0</v>
      </c>
      <c r="R640" s="36">
        <f t="shared" si="142"/>
        <v>330</v>
      </c>
    </row>
    <row r="641" spans="1:18" ht="12.75" hidden="1">
      <c r="A641" s="12" t="s">
        <v>259</v>
      </c>
      <c r="B641" s="44" t="s">
        <v>584</v>
      </c>
      <c r="C641" s="8" t="s">
        <v>203</v>
      </c>
      <c r="D641" s="8" t="s">
        <v>227</v>
      </c>
      <c r="E641" s="115"/>
      <c r="F641" s="7">
        <f aca="true" t="shared" si="149" ref="F641:Q643">F642</f>
        <v>0</v>
      </c>
      <c r="G641" s="7">
        <f t="shared" si="149"/>
        <v>0</v>
      </c>
      <c r="H641" s="36">
        <f t="shared" si="134"/>
        <v>0</v>
      </c>
      <c r="I641" s="7">
        <f t="shared" si="149"/>
        <v>0</v>
      </c>
      <c r="J641" s="36">
        <f t="shared" si="147"/>
        <v>0</v>
      </c>
      <c r="K641" s="7">
        <f t="shared" si="149"/>
        <v>0</v>
      </c>
      <c r="L641" s="36">
        <f t="shared" si="144"/>
        <v>0</v>
      </c>
      <c r="M641" s="7">
        <f t="shared" si="149"/>
        <v>0</v>
      </c>
      <c r="N641" s="36">
        <f t="shared" si="145"/>
        <v>0</v>
      </c>
      <c r="O641" s="7">
        <f t="shared" si="149"/>
        <v>0</v>
      </c>
      <c r="P641" s="36">
        <f t="shared" si="141"/>
        <v>0</v>
      </c>
      <c r="Q641" s="7">
        <f t="shared" si="149"/>
        <v>0</v>
      </c>
      <c r="R641" s="36">
        <f t="shared" si="142"/>
        <v>0</v>
      </c>
    </row>
    <row r="642" spans="1:18" ht="12.75" hidden="1">
      <c r="A642" s="62" t="str">
        <f ca="1">IF(ISERROR(MATCH(E642,Код_КВР,0)),"",INDIRECT(ADDRESS(MATCH(E642,Код_КВР,0)+1,2,,,"КВР")))</f>
        <v>Закупка товаров, работ и услуг для муниципальных нужд</v>
      </c>
      <c r="B642" s="44" t="s">
        <v>584</v>
      </c>
      <c r="C642" s="8" t="s">
        <v>203</v>
      </c>
      <c r="D642" s="8" t="s">
        <v>227</v>
      </c>
      <c r="E642" s="115">
        <v>200</v>
      </c>
      <c r="F642" s="7">
        <f t="shared" si="149"/>
        <v>0</v>
      </c>
      <c r="G642" s="7">
        <f t="shared" si="149"/>
        <v>0</v>
      </c>
      <c r="H642" s="36">
        <f aca="true" t="shared" si="150" ref="H642:H705">F642+G642</f>
        <v>0</v>
      </c>
      <c r="I642" s="7">
        <f t="shared" si="149"/>
        <v>0</v>
      </c>
      <c r="J642" s="36">
        <f t="shared" si="147"/>
        <v>0</v>
      </c>
      <c r="K642" s="7">
        <f t="shared" si="149"/>
        <v>0</v>
      </c>
      <c r="L642" s="36">
        <f t="shared" si="144"/>
        <v>0</v>
      </c>
      <c r="M642" s="7">
        <f t="shared" si="149"/>
        <v>0</v>
      </c>
      <c r="N642" s="36">
        <f t="shared" si="145"/>
        <v>0</v>
      </c>
      <c r="O642" s="7">
        <f t="shared" si="149"/>
        <v>0</v>
      </c>
      <c r="P642" s="36">
        <f t="shared" si="141"/>
        <v>0</v>
      </c>
      <c r="Q642" s="7">
        <f t="shared" si="149"/>
        <v>0</v>
      </c>
      <c r="R642" s="36">
        <f t="shared" si="142"/>
        <v>0</v>
      </c>
    </row>
    <row r="643" spans="1:18" ht="33" hidden="1">
      <c r="A643" s="62" t="str">
        <f ca="1">IF(ISERROR(MATCH(E643,Код_КВР,0)),"",INDIRECT(ADDRESS(MATCH(E643,Код_КВР,0)+1,2,,,"КВР")))</f>
        <v>Иные закупки товаров, работ и услуг для обеспечения муниципальных нужд</v>
      </c>
      <c r="B643" s="44" t="s">
        <v>584</v>
      </c>
      <c r="C643" s="8" t="s">
        <v>203</v>
      </c>
      <c r="D643" s="8" t="s">
        <v>227</v>
      </c>
      <c r="E643" s="115">
        <v>240</v>
      </c>
      <c r="F643" s="7">
        <f t="shared" si="149"/>
        <v>0</v>
      </c>
      <c r="G643" s="7">
        <f t="shared" si="149"/>
        <v>0</v>
      </c>
      <c r="H643" s="36">
        <f t="shared" si="150"/>
        <v>0</v>
      </c>
      <c r="I643" s="7">
        <f t="shared" si="149"/>
        <v>0</v>
      </c>
      <c r="J643" s="36">
        <f t="shared" si="147"/>
        <v>0</v>
      </c>
      <c r="K643" s="7">
        <f t="shared" si="149"/>
        <v>0</v>
      </c>
      <c r="L643" s="36">
        <f t="shared" si="144"/>
        <v>0</v>
      </c>
      <c r="M643" s="7">
        <f t="shared" si="149"/>
        <v>0</v>
      </c>
      <c r="N643" s="36">
        <f t="shared" si="145"/>
        <v>0</v>
      </c>
      <c r="O643" s="7">
        <f t="shared" si="149"/>
        <v>0</v>
      </c>
      <c r="P643" s="36">
        <f t="shared" si="141"/>
        <v>0</v>
      </c>
      <c r="Q643" s="7">
        <f t="shared" si="149"/>
        <v>0</v>
      </c>
      <c r="R643" s="36">
        <f t="shared" si="142"/>
        <v>0</v>
      </c>
    </row>
    <row r="644" spans="1:18" ht="33" hidden="1">
      <c r="A644" s="62" t="str">
        <f ca="1">IF(ISERROR(MATCH(E644,Код_КВР,0)),"",INDIRECT(ADDRESS(MATCH(E644,Код_КВР,0)+1,2,,,"КВР")))</f>
        <v xml:space="preserve">Прочая закупка товаров, работ и услуг для обеспечения муниципальных нужд         </v>
      </c>
      <c r="B644" s="44" t="s">
        <v>584</v>
      </c>
      <c r="C644" s="8" t="s">
        <v>203</v>
      </c>
      <c r="D644" s="8" t="s">
        <v>227</v>
      </c>
      <c r="E644" s="115">
        <v>244</v>
      </c>
      <c r="F644" s="7">
        <f>'прил.5'!G766</f>
        <v>0</v>
      </c>
      <c r="G644" s="7">
        <f>'прил.5'!H766</f>
        <v>0</v>
      </c>
      <c r="H644" s="36">
        <f t="shared" si="150"/>
        <v>0</v>
      </c>
      <c r="I644" s="7">
        <f>'прил.5'!J766</f>
        <v>0</v>
      </c>
      <c r="J644" s="36">
        <f t="shared" si="147"/>
        <v>0</v>
      </c>
      <c r="K644" s="7">
        <f>'прил.5'!L766</f>
        <v>0</v>
      </c>
      <c r="L644" s="36">
        <f t="shared" si="144"/>
        <v>0</v>
      </c>
      <c r="M644" s="7">
        <f>'прил.5'!N766</f>
        <v>0</v>
      </c>
      <c r="N644" s="36">
        <f t="shared" si="145"/>
        <v>0</v>
      </c>
      <c r="O644" s="7">
        <f>'прил.5'!P766</f>
        <v>0</v>
      </c>
      <c r="P644" s="36">
        <f t="shared" si="141"/>
        <v>0</v>
      </c>
      <c r="Q644" s="7">
        <f>'прил.5'!R766</f>
        <v>0</v>
      </c>
      <c r="R644" s="36">
        <f t="shared" si="142"/>
        <v>0</v>
      </c>
    </row>
    <row r="645" spans="1:18" ht="12.75" hidden="1">
      <c r="A645" s="62" t="str">
        <f ca="1">IF(ISERROR(MATCH(C645,Код_Раздел,0)),"",INDIRECT(ADDRESS(MATCH(C645,Код_Раздел,0)+1,2,,,"Раздел")))</f>
        <v>Культура, кинематография</v>
      </c>
      <c r="B645" s="44" t="s">
        <v>584</v>
      </c>
      <c r="C645" s="8" t="s">
        <v>230</v>
      </c>
      <c r="D645" s="1"/>
      <c r="E645" s="115"/>
      <c r="F645" s="7">
        <f aca="true" t="shared" si="151" ref="F645:Q648">F646</f>
        <v>0</v>
      </c>
      <c r="G645" s="7">
        <f t="shared" si="151"/>
        <v>0</v>
      </c>
      <c r="H645" s="36">
        <f t="shared" si="150"/>
        <v>0</v>
      </c>
      <c r="I645" s="7">
        <f t="shared" si="151"/>
        <v>0</v>
      </c>
      <c r="J645" s="36">
        <f t="shared" si="147"/>
        <v>0</v>
      </c>
      <c r="K645" s="7">
        <f t="shared" si="151"/>
        <v>0</v>
      </c>
      <c r="L645" s="36">
        <f t="shared" si="144"/>
        <v>0</v>
      </c>
      <c r="M645" s="7">
        <f t="shared" si="151"/>
        <v>0</v>
      </c>
      <c r="N645" s="36">
        <f t="shared" si="145"/>
        <v>0</v>
      </c>
      <c r="O645" s="7">
        <f t="shared" si="151"/>
        <v>0</v>
      </c>
      <c r="P645" s="36">
        <f t="shared" si="141"/>
        <v>0</v>
      </c>
      <c r="Q645" s="7">
        <f t="shared" si="151"/>
        <v>0</v>
      </c>
      <c r="R645" s="36">
        <f t="shared" si="142"/>
        <v>0</v>
      </c>
    </row>
    <row r="646" spans="1:18" ht="12.75" hidden="1">
      <c r="A646" s="12" t="s">
        <v>171</v>
      </c>
      <c r="B646" s="44" t="s">
        <v>584</v>
      </c>
      <c r="C646" s="8" t="s">
        <v>230</v>
      </c>
      <c r="D646" s="1" t="s">
        <v>224</v>
      </c>
      <c r="E646" s="115"/>
      <c r="F646" s="7">
        <f t="shared" si="151"/>
        <v>0</v>
      </c>
      <c r="G646" s="7">
        <f t="shared" si="151"/>
        <v>0</v>
      </c>
      <c r="H646" s="36">
        <f t="shared" si="150"/>
        <v>0</v>
      </c>
      <c r="I646" s="7">
        <f t="shared" si="151"/>
        <v>0</v>
      </c>
      <c r="J646" s="36">
        <f t="shared" si="147"/>
        <v>0</v>
      </c>
      <c r="K646" s="7">
        <f t="shared" si="151"/>
        <v>0</v>
      </c>
      <c r="L646" s="36">
        <f t="shared" si="144"/>
        <v>0</v>
      </c>
      <c r="M646" s="7">
        <f t="shared" si="151"/>
        <v>0</v>
      </c>
      <c r="N646" s="36">
        <f t="shared" si="145"/>
        <v>0</v>
      </c>
      <c r="O646" s="7">
        <f t="shared" si="151"/>
        <v>0</v>
      </c>
      <c r="P646" s="36">
        <f t="shared" si="141"/>
        <v>0</v>
      </c>
      <c r="Q646" s="7">
        <f t="shared" si="151"/>
        <v>0</v>
      </c>
      <c r="R646" s="36">
        <f t="shared" si="142"/>
        <v>0</v>
      </c>
    </row>
    <row r="647" spans="1:18" ht="12.75" hidden="1">
      <c r="A647" s="62" t="str">
        <f ca="1">IF(ISERROR(MATCH(E647,Код_КВР,0)),"",INDIRECT(ADDRESS(MATCH(E647,Код_КВР,0)+1,2,,,"КВР")))</f>
        <v>Закупка товаров, работ и услуг для муниципальных нужд</v>
      </c>
      <c r="B647" s="44" t="s">
        <v>584</v>
      </c>
      <c r="C647" s="8" t="s">
        <v>230</v>
      </c>
      <c r="D647" s="1" t="s">
        <v>224</v>
      </c>
      <c r="E647" s="115">
        <v>200</v>
      </c>
      <c r="F647" s="7">
        <f t="shared" si="151"/>
        <v>0</v>
      </c>
      <c r="G647" s="7">
        <f t="shared" si="151"/>
        <v>0</v>
      </c>
      <c r="H647" s="36">
        <f t="shared" si="150"/>
        <v>0</v>
      </c>
      <c r="I647" s="7">
        <f t="shared" si="151"/>
        <v>0</v>
      </c>
      <c r="J647" s="36">
        <f t="shared" si="147"/>
        <v>0</v>
      </c>
      <c r="K647" s="7">
        <f t="shared" si="151"/>
        <v>0</v>
      </c>
      <c r="L647" s="36">
        <f t="shared" si="144"/>
        <v>0</v>
      </c>
      <c r="M647" s="7">
        <f t="shared" si="151"/>
        <v>0</v>
      </c>
      <c r="N647" s="36">
        <f t="shared" si="145"/>
        <v>0</v>
      </c>
      <c r="O647" s="7">
        <f t="shared" si="151"/>
        <v>0</v>
      </c>
      <c r="P647" s="36">
        <f t="shared" si="141"/>
        <v>0</v>
      </c>
      <c r="Q647" s="7">
        <f t="shared" si="151"/>
        <v>0</v>
      </c>
      <c r="R647" s="36">
        <f t="shared" si="142"/>
        <v>0</v>
      </c>
    </row>
    <row r="648" spans="1:18" ht="33" hidden="1">
      <c r="A648" s="62" t="str">
        <f ca="1">IF(ISERROR(MATCH(E648,Код_КВР,0)),"",INDIRECT(ADDRESS(MATCH(E648,Код_КВР,0)+1,2,,,"КВР")))</f>
        <v>Иные закупки товаров, работ и услуг для обеспечения муниципальных нужд</v>
      </c>
      <c r="B648" s="44" t="s">
        <v>584</v>
      </c>
      <c r="C648" s="8" t="s">
        <v>230</v>
      </c>
      <c r="D648" s="1" t="s">
        <v>224</v>
      </c>
      <c r="E648" s="115">
        <v>240</v>
      </c>
      <c r="F648" s="7">
        <f t="shared" si="151"/>
        <v>0</v>
      </c>
      <c r="G648" s="7">
        <f t="shared" si="151"/>
        <v>0</v>
      </c>
      <c r="H648" s="36">
        <f t="shared" si="150"/>
        <v>0</v>
      </c>
      <c r="I648" s="7">
        <f t="shared" si="151"/>
        <v>0</v>
      </c>
      <c r="J648" s="36">
        <f t="shared" si="147"/>
        <v>0</v>
      </c>
      <c r="K648" s="7">
        <f t="shared" si="151"/>
        <v>0</v>
      </c>
      <c r="L648" s="36">
        <f t="shared" si="144"/>
        <v>0</v>
      </c>
      <c r="M648" s="7">
        <f t="shared" si="151"/>
        <v>0</v>
      </c>
      <c r="N648" s="36">
        <f t="shared" si="145"/>
        <v>0</v>
      </c>
      <c r="O648" s="7">
        <f t="shared" si="151"/>
        <v>0</v>
      </c>
      <c r="P648" s="36">
        <f t="shared" si="141"/>
        <v>0</v>
      </c>
      <c r="Q648" s="7">
        <f t="shared" si="151"/>
        <v>0</v>
      </c>
      <c r="R648" s="36">
        <f t="shared" si="142"/>
        <v>0</v>
      </c>
    </row>
    <row r="649" spans="1:18" ht="33" hidden="1">
      <c r="A649" s="62" t="str">
        <f ca="1">IF(ISERROR(MATCH(E649,Код_КВР,0)),"",INDIRECT(ADDRESS(MATCH(E649,Код_КВР,0)+1,2,,,"КВР")))</f>
        <v xml:space="preserve">Прочая закупка товаров, работ и услуг для обеспечения муниципальных нужд         </v>
      </c>
      <c r="B649" s="44" t="s">
        <v>584</v>
      </c>
      <c r="C649" s="8" t="s">
        <v>230</v>
      </c>
      <c r="D649" s="1" t="s">
        <v>224</v>
      </c>
      <c r="E649" s="115">
        <v>244</v>
      </c>
      <c r="F649" s="7">
        <f>'прил.5'!G1094</f>
        <v>0</v>
      </c>
      <c r="G649" s="7">
        <f>'прил.5'!H1094</f>
        <v>0</v>
      </c>
      <c r="H649" s="36">
        <f t="shared" si="150"/>
        <v>0</v>
      </c>
      <c r="I649" s="7">
        <f>'прил.5'!J1094</f>
        <v>0</v>
      </c>
      <c r="J649" s="36">
        <f t="shared" si="147"/>
        <v>0</v>
      </c>
      <c r="K649" s="7">
        <f>'прил.5'!L1094</f>
        <v>0</v>
      </c>
      <c r="L649" s="36">
        <f t="shared" si="144"/>
        <v>0</v>
      </c>
      <c r="M649" s="7">
        <f>'прил.5'!N1094</f>
        <v>0</v>
      </c>
      <c r="N649" s="36">
        <f t="shared" si="145"/>
        <v>0</v>
      </c>
      <c r="O649" s="7">
        <f>'прил.5'!P1094</f>
        <v>0</v>
      </c>
      <c r="P649" s="36">
        <f t="shared" si="141"/>
        <v>0</v>
      </c>
      <c r="Q649" s="7">
        <f>'прил.5'!R1094</f>
        <v>0</v>
      </c>
      <c r="R649" s="36">
        <f t="shared" si="142"/>
        <v>0</v>
      </c>
    </row>
    <row r="650" spans="1:18" ht="12.75" hidden="1">
      <c r="A650" s="62" t="str">
        <f ca="1">IF(ISERROR(MATCH(B650,Код_КЦСР,0)),"",INDIRECT(ADDRESS(MATCH(B650,Код_КЦСР,0)+1,2,,,"КЦСР")))</f>
        <v>Адаптация горожан с ограниченными возможностями</v>
      </c>
      <c r="B650" s="44" t="s">
        <v>586</v>
      </c>
      <c r="C650" s="8"/>
      <c r="D650" s="1"/>
      <c r="E650" s="115"/>
      <c r="F650" s="7">
        <f>F651+F656</f>
        <v>0</v>
      </c>
      <c r="G650" s="7">
        <f>G651+G656</f>
        <v>0</v>
      </c>
      <c r="H650" s="36">
        <f t="shared" si="150"/>
        <v>0</v>
      </c>
      <c r="I650" s="7">
        <f>I651+I656</f>
        <v>0</v>
      </c>
      <c r="J650" s="36">
        <f t="shared" si="147"/>
        <v>0</v>
      </c>
      <c r="K650" s="7">
        <f>K651+K656</f>
        <v>0</v>
      </c>
      <c r="L650" s="36">
        <f t="shared" si="144"/>
        <v>0</v>
      </c>
      <c r="M650" s="7">
        <f>M651+M656</f>
        <v>0</v>
      </c>
      <c r="N650" s="36">
        <f t="shared" si="145"/>
        <v>0</v>
      </c>
      <c r="O650" s="7">
        <f>O651+O656</f>
        <v>0</v>
      </c>
      <c r="P650" s="36">
        <f t="shared" si="141"/>
        <v>0</v>
      </c>
      <c r="Q650" s="7">
        <f>Q651+Q656</f>
        <v>0</v>
      </c>
      <c r="R650" s="36">
        <f t="shared" si="142"/>
        <v>0</v>
      </c>
    </row>
    <row r="651" spans="1:18" ht="12.75" hidden="1">
      <c r="A651" s="62" t="str">
        <f ca="1">IF(ISERROR(MATCH(C651,Код_Раздел,0)),"",INDIRECT(ADDRESS(MATCH(C651,Код_Раздел,0)+1,2,,,"Раздел")))</f>
        <v>Образование</v>
      </c>
      <c r="B651" s="44" t="s">
        <v>586</v>
      </c>
      <c r="C651" s="8" t="s">
        <v>203</v>
      </c>
      <c r="D651" s="1"/>
      <c r="E651" s="115"/>
      <c r="F651" s="7">
        <f aca="true" t="shared" si="152" ref="F651:Q654">F652</f>
        <v>0</v>
      </c>
      <c r="G651" s="7">
        <f t="shared" si="152"/>
        <v>0</v>
      </c>
      <c r="H651" s="36">
        <f t="shared" si="150"/>
        <v>0</v>
      </c>
      <c r="I651" s="7">
        <f t="shared" si="152"/>
        <v>0</v>
      </c>
      <c r="J651" s="36">
        <f t="shared" si="147"/>
        <v>0</v>
      </c>
      <c r="K651" s="7">
        <f t="shared" si="152"/>
        <v>0</v>
      </c>
      <c r="L651" s="36">
        <f t="shared" si="144"/>
        <v>0</v>
      </c>
      <c r="M651" s="7">
        <f t="shared" si="152"/>
        <v>0</v>
      </c>
      <c r="N651" s="36">
        <f t="shared" si="145"/>
        <v>0</v>
      </c>
      <c r="O651" s="7">
        <f t="shared" si="152"/>
        <v>0</v>
      </c>
      <c r="P651" s="36">
        <f t="shared" si="141"/>
        <v>0</v>
      </c>
      <c r="Q651" s="7">
        <f t="shared" si="152"/>
        <v>0</v>
      </c>
      <c r="R651" s="36">
        <f t="shared" si="142"/>
        <v>0</v>
      </c>
    </row>
    <row r="652" spans="1:18" ht="12.75" hidden="1">
      <c r="A652" s="12" t="s">
        <v>207</v>
      </c>
      <c r="B652" s="44" t="s">
        <v>586</v>
      </c>
      <c r="C652" s="8" t="s">
        <v>203</v>
      </c>
      <c r="D652" s="1" t="s">
        <v>203</v>
      </c>
      <c r="E652" s="115"/>
      <c r="F652" s="7">
        <f t="shared" si="152"/>
        <v>0</v>
      </c>
      <c r="G652" s="7">
        <f t="shared" si="152"/>
        <v>0</v>
      </c>
      <c r="H652" s="36">
        <f t="shared" si="150"/>
        <v>0</v>
      </c>
      <c r="I652" s="7">
        <f t="shared" si="152"/>
        <v>0</v>
      </c>
      <c r="J652" s="36">
        <f t="shared" si="147"/>
        <v>0</v>
      </c>
      <c r="K652" s="7">
        <f t="shared" si="152"/>
        <v>0</v>
      </c>
      <c r="L652" s="36">
        <f t="shared" si="144"/>
        <v>0</v>
      </c>
      <c r="M652" s="7">
        <f t="shared" si="152"/>
        <v>0</v>
      </c>
      <c r="N652" s="36">
        <f t="shared" si="145"/>
        <v>0</v>
      </c>
      <c r="O652" s="7">
        <f t="shared" si="152"/>
        <v>0</v>
      </c>
      <c r="P652" s="36">
        <f t="shared" si="141"/>
        <v>0</v>
      </c>
      <c r="Q652" s="7">
        <f t="shared" si="152"/>
        <v>0</v>
      </c>
      <c r="R652" s="36">
        <f t="shared" si="142"/>
        <v>0</v>
      </c>
    </row>
    <row r="653" spans="1:18" ht="33" hidden="1">
      <c r="A653" s="62" t="str">
        <f ca="1">IF(ISERROR(MATCH(E653,Код_КВР,0)),"",INDIRECT(ADDRESS(MATCH(E653,Код_КВР,0)+1,2,,,"КВР")))</f>
        <v>Предоставление субсидий бюджетным, автономным учреждениям и иным некоммерческим организациям</v>
      </c>
      <c r="B653" s="44" t="s">
        <v>586</v>
      </c>
      <c r="C653" s="8" t="s">
        <v>203</v>
      </c>
      <c r="D653" s="1" t="s">
        <v>203</v>
      </c>
      <c r="E653" s="115">
        <v>600</v>
      </c>
      <c r="F653" s="7">
        <f t="shared" si="152"/>
        <v>0</v>
      </c>
      <c r="G653" s="7">
        <f t="shared" si="152"/>
        <v>0</v>
      </c>
      <c r="H653" s="36">
        <f t="shared" si="150"/>
        <v>0</v>
      </c>
      <c r="I653" s="7">
        <f t="shared" si="152"/>
        <v>0</v>
      </c>
      <c r="J653" s="36">
        <f t="shared" si="147"/>
        <v>0</v>
      </c>
      <c r="K653" s="7">
        <f t="shared" si="152"/>
        <v>0</v>
      </c>
      <c r="L653" s="36">
        <f t="shared" si="144"/>
        <v>0</v>
      </c>
      <c r="M653" s="7">
        <f t="shared" si="152"/>
        <v>0</v>
      </c>
      <c r="N653" s="36">
        <f t="shared" si="145"/>
        <v>0</v>
      </c>
      <c r="O653" s="7">
        <f t="shared" si="152"/>
        <v>0</v>
      </c>
      <c r="P653" s="36">
        <f t="shared" si="141"/>
        <v>0</v>
      </c>
      <c r="Q653" s="7">
        <f t="shared" si="152"/>
        <v>0</v>
      </c>
      <c r="R653" s="36">
        <f t="shared" si="142"/>
        <v>0</v>
      </c>
    </row>
    <row r="654" spans="1:18" ht="12.75" hidden="1">
      <c r="A654" s="62" t="str">
        <f ca="1">IF(ISERROR(MATCH(E654,Код_КВР,0)),"",INDIRECT(ADDRESS(MATCH(E654,Код_КВР,0)+1,2,,,"КВР")))</f>
        <v>Субсидии бюджетным учреждениям</v>
      </c>
      <c r="B654" s="44" t="s">
        <v>586</v>
      </c>
      <c r="C654" s="8" t="s">
        <v>203</v>
      </c>
      <c r="D654" s="1" t="s">
        <v>203</v>
      </c>
      <c r="E654" s="115">
        <v>610</v>
      </c>
      <c r="F654" s="7">
        <f t="shared" si="152"/>
        <v>0</v>
      </c>
      <c r="G654" s="7">
        <f t="shared" si="152"/>
        <v>0</v>
      </c>
      <c r="H654" s="36">
        <f t="shared" si="150"/>
        <v>0</v>
      </c>
      <c r="I654" s="7">
        <f t="shared" si="152"/>
        <v>0</v>
      </c>
      <c r="J654" s="36">
        <f t="shared" si="147"/>
        <v>0</v>
      </c>
      <c r="K654" s="7">
        <f t="shared" si="152"/>
        <v>0</v>
      </c>
      <c r="L654" s="36">
        <f t="shared" si="144"/>
        <v>0</v>
      </c>
      <c r="M654" s="7">
        <f t="shared" si="152"/>
        <v>0</v>
      </c>
      <c r="N654" s="36">
        <f t="shared" si="145"/>
        <v>0</v>
      </c>
      <c r="O654" s="7">
        <f t="shared" si="152"/>
        <v>0</v>
      </c>
      <c r="P654" s="36">
        <f t="shared" si="141"/>
        <v>0</v>
      </c>
      <c r="Q654" s="7">
        <f t="shared" si="152"/>
        <v>0</v>
      </c>
      <c r="R654" s="36">
        <f t="shared" si="142"/>
        <v>0</v>
      </c>
    </row>
    <row r="655" spans="1:18" ht="12.75" hidden="1">
      <c r="A655" s="62" t="str">
        <f ca="1">IF(ISERROR(MATCH(E655,Код_КВР,0)),"",INDIRECT(ADDRESS(MATCH(E655,Код_КВР,0)+1,2,,,"КВР")))</f>
        <v>Субсидии бюджетным учреждениям на иные цели</v>
      </c>
      <c r="B655" s="44" t="s">
        <v>586</v>
      </c>
      <c r="C655" s="8" t="s">
        <v>203</v>
      </c>
      <c r="D655" s="1" t="s">
        <v>203</v>
      </c>
      <c r="E655" s="115">
        <v>612</v>
      </c>
      <c r="F655" s="7">
        <f>'прил.5'!G319</f>
        <v>0</v>
      </c>
      <c r="G655" s="7">
        <f>'прил.5'!H319</f>
        <v>0</v>
      </c>
      <c r="H655" s="36">
        <f t="shared" si="150"/>
        <v>0</v>
      </c>
      <c r="I655" s="7">
        <f>'прил.5'!J319</f>
        <v>0</v>
      </c>
      <c r="J655" s="36">
        <f t="shared" si="147"/>
        <v>0</v>
      </c>
      <c r="K655" s="7">
        <f>'прил.5'!L319</f>
        <v>0</v>
      </c>
      <c r="L655" s="36">
        <f t="shared" si="144"/>
        <v>0</v>
      </c>
      <c r="M655" s="7">
        <f>'прил.5'!N319</f>
        <v>0</v>
      </c>
      <c r="N655" s="36">
        <f t="shared" si="145"/>
        <v>0</v>
      </c>
      <c r="O655" s="7">
        <f>'прил.5'!P319</f>
        <v>0</v>
      </c>
      <c r="P655" s="36">
        <f t="shared" si="141"/>
        <v>0</v>
      </c>
      <c r="Q655" s="7">
        <f>'прил.5'!R319</f>
        <v>0</v>
      </c>
      <c r="R655" s="36">
        <f t="shared" si="142"/>
        <v>0</v>
      </c>
    </row>
    <row r="656" spans="1:18" ht="12.75" hidden="1">
      <c r="A656" s="62" t="str">
        <f ca="1">IF(ISERROR(MATCH(C656,Код_Раздел,0)),"",INDIRECT(ADDRESS(MATCH(C656,Код_Раздел,0)+1,2,,,"Раздел")))</f>
        <v>Культура, кинематография</v>
      </c>
      <c r="B656" s="44" t="s">
        <v>586</v>
      </c>
      <c r="C656" s="8" t="s">
        <v>230</v>
      </c>
      <c r="D656" s="1"/>
      <c r="E656" s="115"/>
      <c r="F656" s="7">
        <f aca="true" t="shared" si="153" ref="F656:Q659">F657</f>
        <v>0</v>
      </c>
      <c r="G656" s="7">
        <f t="shared" si="153"/>
        <v>0</v>
      </c>
      <c r="H656" s="36">
        <f t="shared" si="150"/>
        <v>0</v>
      </c>
      <c r="I656" s="7">
        <f t="shared" si="153"/>
        <v>0</v>
      </c>
      <c r="J656" s="36">
        <f t="shared" si="147"/>
        <v>0</v>
      </c>
      <c r="K656" s="7">
        <f t="shared" si="153"/>
        <v>0</v>
      </c>
      <c r="L656" s="36">
        <f t="shared" si="144"/>
        <v>0</v>
      </c>
      <c r="M656" s="7">
        <f t="shared" si="153"/>
        <v>0</v>
      </c>
      <c r="N656" s="36">
        <f t="shared" si="145"/>
        <v>0</v>
      </c>
      <c r="O656" s="7">
        <f t="shared" si="153"/>
        <v>0</v>
      </c>
      <c r="P656" s="36">
        <f t="shared" si="141"/>
        <v>0</v>
      </c>
      <c r="Q656" s="7">
        <f t="shared" si="153"/>
        <v>0</v>
      </c>
      <c r="R656" s="36">
        <f t="shared" si="142"/>
        <v>0</v>
      </c>
    </row>
    <row r="657" spans="1:18" ht="12.75" hidden="1">
      <c r="A657" s="12" t="s">
        <v>171</v>
      </c>
      <c r="B657" s="44" t="s">
        <v>586</v>
      </c>
      <c r="C657" s="8" t="s">
        <v>230</v>
      </c>
      <c r="D657" s="1" t="s">
        <v>224</v>
      </c>
      <c r="E657" s="115"/>
      <c r="F657" s="7">
        <f t="shared" si="153"/>
        <v>0</v>
      </c>
      <c r="G657" s="7">
        <f t="shared" si="153"/>
        <v>0</v>
      </c>
      <c r="H657" s="36">
        <f t="shared" si="150"/>
        <v>0</v>
      </c>
      <c r="I657" s="7">
        <f t="shared" si="153"/>
        <v>0</v>
      </c>
      <c r="J657" s="36">
        <f t="shared" si="147"/>
        <v>0</v>
      </c>
      <c r="K657" s="7">
        <f t="shared" si="153"/>
        <v>0</v>
      </c>
      <c r="L657" s="36">
        <f t="shared" si="144"/>
        <v>0</v>
      </c>
      <c r="M657" s="7">
        <f t="shared" si="153"/>
        <v>0</v>
      </c>
      <c r="N657" s="36">
        <f t="shared" si="145"/>
        <v>0</v>
      </c>
      <c r="O657" s="7">
        <f t="shared" si="153"/>
        <v>0</v>
      </c>
      <c r="P657" s="36">
        <f t="shared" si="141"/>
        <v>0</v>
      </c>
      <c r="Q657" s="7">
        <f t="shared" si="153"/>
        <v>0</v>
      </c>
      <c r="R657" s="36">
        <f t="shared" si="142"/>
        <v>0</v>
      </c>
    </row>
    <row r="658" spans="1:18" ht="12.75" hidden="1">
      <c r="A658" s="62" t="str">
        <f ca="1">IF(ISERROR(MATCH(E658,Код_КВР,0)),"",INDIRECT(ADDRESS(MATCH(E658,Код_КВР,0)+1,2,,,"КВР")))</f>
        <v>Закупка товаров, работ и услуг для муниципальных нужд</v>
      </c>
      <c r="B658" s="44" t="s">
        <v>586</v>
      </c>
      <c r="C658" s="8" t="s">
        <v>230</v>
      </c>
      <c r="D658" s="1" t="s">
        <v>224</v>
      </c>
      <c r="E658" s="115">
        <v>200</v>
      </c>
      <c r="F658" s="7">
        <f t="shared" si="153"/>
        <v>0</v>
      </c>
      <c r="G658" s="7">
        <f t="shared" si="153"/>
        <v>0</v>
      </c>
      <c r="H658" s="36">
        <f t="shared" si="150"/>
        <v>0</v>
      </c>
      <c r="I658" s="7">
        <f t="shared" si="153"/>
        <v>0</v>
      </c>
      <c r="J658" s="36">
        <f t="shared" si="147"/>
        <v>0</v>
      </c>
      <c r="K658" s="7">
        <f t="shared" si="153"/>
        <v>0</v>
      </c>
      <c r="L658" s="36">
        <f t="shared" si="144"/>
        <v>0</v>
      </c>
      <c r="M658" s="7">
        <f t="shared" si="153"/>
        <v>0</v>
      </c>
      <c r="N658" s="36">
        <f t="shared" si="145"/>
        <v>0</v>
      </c>
      <c r="O658" s="7">
        <f t="shared" si="153"/>
        <v>0</v>
      </c>
      <c r="P658" s="36">
        <f t="shared" si="141"/>
        <v>0</v>
      </c>
      <c r="Q658" s="7">
        <f t="shared" si="153"/>
        <v>0</v>
      </c>
      <c r="R658" s="36">
        <f t="shared" si="142"/>
        <v>0</v>
      </c>
    </row>
    <row r="659" spans="1:18" ht="33" hidden="1">
      <c r="A659" s="62" t="str">
        <f ca="1">IF(ISERROR(MATCH(E659,Код_КВР,0)),"",INDIRECT(ADDRESS(MATCH(E659,Код_КВР,0)+1,2,,,"КВР")))</f>
        <v>Иные закупки товаров, работ и услуг для обеспечения муниципальных нужд</v>
      </c>
      <c r="B659" s="44" t="s">
        <v>586</v>
      </c>
      <c r="C659" s="8" t="s">
        <v>230</v>
      </c>
      <c r="D659" s="1" t="s">
        <v>224</v>
      </c>
      <c r="E659" s="115">
        <v>240</v>
      </c>
      <c r="F659" s="7">
        <f t="shared" si="153"/>
        <v>0</v>
      </c>
      <c r="G659" s="7">
        <f t="shared" si="153"/>
        <v>0</v>
      </c>
      <c r="H659" s="36">
        <f t="shared" si="150"/>
        <v>0</v>
      </c>
      <c r="I659" s="7">
        <f t="shared" si="153"/>
        <v>0</v>
      </c>
      <c r="J659" s="36">
        <f t="shared" si="147"/>
        <v>0</v>
      </c>
      <c r="K659" s="7">
        <f t="shared" si="153"/>
        <v>0</v>
      </c>
      <c r="L659" s="36">
        <f t="shared" si="144"/>
        <v>0</v>
      </c>
      <c r="M659" s="7">
        <f t="shared" si="153"/>
        <v>0</v>
      </c>
      <c r="N659" s="36">
        <f t="shared" si="145"/>
        <v>0</v>
      </c>
      <c r="O659" s="7">
        <f t="shared" si="153"/>
        <v>0</v>
      </c>
      <c r="P659" s="36">
        <f t="shared" si="141"/>
        <v>0</v>
      </c>
      <c r="Q659" s="7">
        <f t="shared" si="153"/>
        <v>0</v>
      </c>
      <c r="R659" s="36">
        <f t="shared" si="142"/>
        <v>0</v>
      </c>
    </row>
    <row r="660" spans="1:18" ht="33" hidden="1">
      <c r="A660" s="62" t="str">
        <f ca="1">IF(ISERROR(MATCH(E660,Код_КВР,0)),"",INDIRECT(ADDRESS(MATCH(E660,Код_КВР,0)+1,2,,,"КВР")))</f>
        <v xml:space="preserve">Прочая закупка товаров, работ и услуг для обеспечения муниципальных нужд         </v>
      </c>
      <c r="B660" s="44" t="s">
        <v>586</v>
      </c>
      <c r="C660" s="8" t="s">
        <v>230</v>
      </c>
      <c r="D660" s="1" t="s">
        <v>224</v>
      </c>
      <c r="E660" s="115">
        <v>244</v>
      </c>
      <c r="F660" s="7">
        <f>'прил.5'!G1098</f>
        <v>0</v>
      </c>
      <c r="G660" s="7">
        <f>'прил.5'!H1098</f>
        <v>0</v>
      </c>
      <c r="H660" s="36">
        <f t="shared" si="150"/>
        <v>0</v>
      </c>
      <c r="I660" s="7">
        <f>'прил.5'!J1098</f>
        <v>0</v>
      </c>
      <c r="J660" s="36">
        <f t="shared" si="147"/>
        <v>0</v>
      </c>
      <c r="K660" s="7">
        <f>'прил.5'!L1098</f>
        <v>0</v>
      </c>
      <c r="L660" s="36">
        <f t="shared" si="144"/>
        <v>0</v>
      </c>
      <c r="M660" s="7">
        <f>'прил.5'!N1098</f>
        <v>0</v>
      </c>
      <c r="N660" s="36">
        <f t="shared" si="145"/>
        <v>0</v>
      </c>
      <c r="O660" s="7">
        <f>'прил.5'!P1098</f>
        <v>0</v>
      </c>
      <c r="P660" s="36">
        <f t="shared" si="141"/>
        <v>0</v>
      </c>
      <c r="Q660" s="7">
        <f>'прил.5'!R1098</f>
        <v>0</v>
      </c>
      <c r="R660" s="36">
        <f t="shared" si="142"/>
        <v>0</v>
      </c>
    </row>
    <row r="661" spans="1:18" ht="12.75" hidden="1">
      <c r="A661" s="62" t="str">
        <f ca="1">IF(ISERROR(MATCH(B661,Код_КЦСР,0)),"",INDIRECT(ADDRESS(MATCH(B661,Код_КЦСР,0)+1,2,,,"КЦСР")))</f>
        <v>Здоровье на рабочем месте</v>
      </c>
      <c r="B661" s="44" t="s">
        <v>588</v>
      </c>
      <c r="C661" s="8"/>
      <c r="D661" s="1"/>
      <c r="E661" s="115"/>
      <c r="F661" s="7">
        <f>F662+F667</f>
        <v>0</v>
      </c>
      <c r="G661" s="7">
        <f>G662+G667</f>
        <v>0</v>
      </c>
      <c r="H661" s="36">
        <f t="shared" si="150"/>
        <v>0</v>
      </c>
      <c r="I661" s="7">
        <f>I662+I667</f>
        <v>0</v>
      </c>
      <c r="J661" s="36">
        <f t="shared" si="147"/>
        <v>0</v>
      </c>
      <c r="K661" s="7">
        <f>K662+K667</f>
        <v>0</v>
      </c>
      <c r="L661" s="36">
        <f t="shared" si="144"/>
        <v>0</v>
      </c>
      <c r="M661" s="7">
        <f>M662+M667</f>
        <v>0</v>
      </c>
      <c r="N661" s="36">
        <f t="shared" si="145"/>
        <v>0</v>
      </c>
      <c r="O661" s="7">
        <f>O662+O667</f>
        <v>0</v>
      </c>
      <c r="P661" s="36">
        <f t="shared" si="141"/>
        <v>0</v>
      </c>
      <c r="Q661" s="7">
        <f>Q662+Q667</f>
        <v>0</v>
      </c>
      <c r="R661" s="36">
        <f t="shared" si="142"/>
        <v>0</v>
      </c>
    </row>
    <row r="662" spans="1:18" ht="12.75" hidden="1">
      <c r="A662" s="62" t="str">
        <f ca="1">IF(ISERROR(MATCH(C662,Код_Раздел,0)),"",INDIRECT(ADDRESS(MATCH(C662,Код_Раздел,0)+1,2,,,"Раздел")))</f>
        <v>Национальная безопасность и правоохранительная  деятельность</v>
      </c>
      <c r="B662" s="44" t="s">
        <v>588</v>
      </c>
      <c r="C662" s="8" t="s">
        <v>223</v>
      </c>
      <c r="D662" s="1"/>
      <c r="E662" s="115"/>
      <c r="F662" s="7">
        <f aca="true" t="shared" si="154" ref="F662:Q665">F663</f>
        <v>0</v>
      </c>
      <c r="G662" s="7">
        <f t="shared" si="154"/>
        <v>0</v>
      </c>
      <c r="H662" s="36">
        <f t="shared" si="150"/>
        <v>0</v>
      </c>
      <c r="I662" s="7">
        <f t="shared" si="154"/>
        <v>0</v>
      </c>
      <c r="J662" s="36">
        <f t="shared" si="147"/>
        <v>0</v>
      </c>
      <c r="K662" s="7">
        <f t="shared" si="154"/>
        <v>0</v>
      </c>
      <c r="L662" s="36">
        <f t="shared" si="144"/>
        <v>0</v>
      </c>
      <c r="M662" s="7">
        <f t="shared" si="154"/>
        <v>0</v>
      </c>
      <c r="N662" s="36">
        <f t="shared" si="145"/>
        <v>0</v>
      </c>
      <c r="O662" s="7">
        <f t="shared" si="154"/>
        <v>0</v>
      </c>
      <c r="P662" s="36">
        <f t="shared" si="141"/>
        <v>0</v>
      </c>
      <c r="Q662" s="7">
        <f t="shared" si="154"/>
        <v>0</v>
      </c>
      <c r="R662" s="36">
        <f t="shared" si="142"/>
        <v>0</v>
      </c>
    </row>
    <row r="663" spans="1:18" ht="33" hidden="1">
      <c r="A663" s="12" t="s">
        <v>270</v>
      </c>
      <c r="B663" s="44" t="s">
        <v>588</v>
      </c>
      <c r="C663" s="8" t="s">
        <v>223</v>
      </c>
      <c r="D663" s="1" t="s">
        <v>227</v>
      </c>
      <c r="E663" s="115"/>
      <c r="F663" s="7">
        <f t="shared" si="154"/>
        <v>0</v>
      </c>
      <c r="G663" s="7">
        <f t="shared" si="154"/>
        <v>0</v>
      </c>
      <c r="H663" s="36">
        <f t="shared" si="150"/>
        <v>0</v>
      </c>
      <c r="I663" s="7">
        <f t="shared" si="154"/>
        <v>0</v>
      </c>
      <c r="J663" s="36">
        <f t="shared" si="147"/>
        <v>0</v>
      </c>
      <c r="K663" s="7">
        <f t="shared" si="154"/>
        <v>0</v>
      </c>
      <c r="L663" s="36">
        <f t="shared" si="144"/>
        <v>0</v>
      </c>
      <c r="M663" s="7">
        <f t="shared" si="154"/>
        <v>0</v>
      </c>
      <c r="N663" s="36">
        <f t="shared" si="145"/>
        <v>0</v>
      </c>
      <c r="O663" s="7">
        <f t="shared" si="154"/>
        <v>0</v>
      </c>
      <c r="P663" s="36">
        <f t="shared" si="141"/>
        <v>0</v>
      </c>
      <c r="Q663" s="7">
        <f t="shared" si="154"/>
        <v>0</v>
      </c>
      <c r="R663" s="36">
        <f t="shared" si="142"/>
        <v>0</v>
      </c>
    </row>
    <row r="664" spans="1:18" ht="12.75" hidden="1">
      <c r="A664" s="62" t="str">
        <f ca="1">IF(ISERROR(MATCH(E664,Код_КВР,0)),"",INDIRECT(ADDRESS(MATCH(E664,Код_КВР,0)+1,2,,,"КВР")))</f>
        <v>Закупка товаров, работ и услуг для муниципальных нужд</v>
      </c>
      <c r="B664" s="44" t="s">
        <v>588</v>
      </c>
      <c r="C664" s="8" t="s">
        <v>223</v>
      </c>
      <c r="D664" s="1" t="s">
        <v>227</v>
      </c>
      <c r="E664" s="115">
        <v>200</v>
      </c>
      <c r="F664" s="7">
        <f t="shared" si="154"/>
        <v>0</v>
      </c>
      <c r="G664" s="7">
        <f t="shared" si="154"/>
        <v>0</v>
      </c>
      <c r="H664" s="36">
        <f t="shared" si="150"/>
        <v>0</v>
      </c>
      <c r="I664" s="7">
        <f t="shared" si="154"/>
        <v>0</v>
      </c>
      <c r="J664" s="36">
        <f t="shared" si="147"/>
        <v>0</v>
      </c>
      <c r="K664" s="7">
        <f t="shared" si="154"/>
        <v>0</v>
      </c>
      <c r="L664" s="36">
        <f t="shared" si="144"/>
        <v>0</v>
      </c>
      <c r="M664" s="7">
        <f t="shared" si="154"/>
        <v>0</v>
      </c>
      <c r="N664" s="36">
        <f t="shared" si="145"/>
        <v>0</v>
      </c>
      <c r="O664" s="7">
        <f t="shared" si="154"/>
        <v>0</v>
      </c>
      <c r="P664" s="36">
        <f t="shared" si="141"/>
        <v>0</v>
      </c>
      <c r="Q664" s="7">
        <f t="shared" si="154"/>
        <v>0</v>
      </c>
      <c r="R664" s="36">
        <f t="shared" si="142"/>
        <v>0</v>
      </c>
    </row>
    <row r="665" spans="1:18" ht="33" hidden="1">
      <c r="A665" s="62" t="str">
        <f ca="1">IF(ISERROR(MATCH(E665,Код_КВР,0)),"",INDIRECT(ADDRESS(MATCH(E665,Код_КВР,0)+1,2,,,"КВР")))</f>
        <v>Иные закупки товаров, работ и услуг для обеспечения муниципальных нужд</v>
      </c>
      <c r="B665" s="44" t="s">
        <v>588</v>
      </c>
      <c r="C665" s="8" t="s">
        <v>223</v>
      </c>
      <c r="D665" s="1" t="s">
        <v>227</v>
      </c>
      <c r="E665" s="115">
        <v>240</v>
      </c>
      <c r="F665" s="7">
        <f t="shared" si="154"/>
        <v>0</v>
      </c>
      <c r="G665" s="7">
        <f t="shared" si="154"/>
        <v>0</v>
      </c>
      <c r="H665" s="36">
        <f t="shared" si="150"/>
        <v>0</v>
      </c>
      <c r="I665" s="7">
        <f t="shared" si="154"/>
        <v>0</v>
      </c>
      <c r="J665" s="36">
        <f t="shared" si="147"/>
        <v>0</v>
      </c>
      <c r="K665" s="7">
        <f t="shared" si="154"/>
        <v>0</v>
      </c>
      <c r="L665" s="36">
        <f t="shared" si="144"/>
        <v>0</v>
      </c>
      <c r="M665" s="7">
        <f t="shared" si="154"/>
        <v>0</v>
      </c>
      <c r="N665" s="36">
        <f t="shared" si="145"/>
        <v>0</v>
      </c>
      <c r="O665" s="7">
        <f t="shared" si="154"/>
        <v>0</v>
      </c>
      <c r="P665" s="36">
        <f t="shared" si="141"/>
        <v>0</v>
      </c>
      <c r="Q665" s="7">
        <f t="shared" si="154"/>
        <v>0</v>
      </c>
      <c r="R665" s="36">
        <f t="shared" si="142"/>
        <v>0</v>
      </c>
    </row>
    <row r="666" spans="1:18" ht="33" hidden="1">
      <c r="A666" s="62" t="str">
        <f ca="1">IF(ISERROR(MATCH(E666,Код_КВР,0)),"",INDIRECT(ADDRESS(MATCH(E666,Код_КВР,0)+1,2,,,"КВР")))</f>
        <v xml:space="preserve">Прочая закупка товаров, работ и услуг для обеспечения муниципальных нужд         </v>
      </c>
      <c r="B666" s="44" t="s">
        <v>588</v>
      </c>
      <c r="C666" s="8" t="s">
        <v>223</v>
      </c>
      <c r="D666" s="1" t="s">
        <v>227</v>
      </c>
      <c r="E666" s="115">
        <v>244</v>
      </c>
      <c r="F666" s="7">
        <f>'прил.5'!G178</f>
        <v>0</v>
      </c>
      <c r="G666" s="7">
        <f>'прил.5'!H178</f>
        <v>0</v>
      </c>
      <c r="H666" s="36">
        <f t="shared" si="150"/>
        <v>0</v>
      </c>
      <c r="I666" s="7">
        <f>'прил.5'!J178</f>
        <v>0</v>
      </c>
      <c r="J666" s="36">
        <f t="shared" si="147"/>
        <v>0</v>
      </c>
      <c r="K666" s="7">
        <f>'прил.5'!L178</f>
        <v>0</v>
      </c>
      <c r="L666" s="36">
        <f t="shared" si="144"/>
        <v>0</v>
      </c>
      <c r="M666" s="7">
        <f>'прил.5'!N178</f>
        <v>0</v>
      </c>
      <c r="N666" s="36">
        <f t="shared" si="145"/>
        <v>0</v>
      </c>
      <c r="O666" s="7">
        <f>'прил.5'!P178</f>
        <v>0</v>
      </c>
      <c r="P666" s="36">
        <f t="shared" si="141"/>
        <v>0</v>
      </c>
      <c r="Q666" s="7">
        <f>'прил.5'!R178</f>
        <v>0</v>
      </c>
      <c r="R666" s="36">
        <f t="shared" si="142"/>
        <v>0</v>
      </c>
    </row>
    <row r="667" spans="1:18" ht="12.75" hidden="1">
      <c r="A667" s="62" t="str">
        <f ca="1">IF(ISERROR(MATCH(C667,Код_Раздел,0)),"",INDIRECT(ADDRESS(MATCH(C667,Код_Раздел,0)+1,2,,,"Раздел")))</f>
        <v>Социальная политика</v>
      </c>
      <c r="B667" s="44" t="s">
        <v>588</v>
      </c>
      <c r="C667" s="8" t="s">
        <v>196</v>
      </c>
      <c r="D667" s="1"/>
      <c r="E667" s="115"/>
      <c r="F667" s="7">
        <f aca="true" t="shared" si="155" ref="F667:Q670">F668</f>
        <v>0</v>
      </c>
      <c r="G667" s="7">
        <f t="shared" si="155"/>
        <v>0</v>
      </c>
      <c r="H667" s="36">
        <f t="shared" si="150"/>
        <v>0</v>
      </c>
      <c r="I667" s="7">
        <f t="shared" si="155"/>
        <v>0</v>
      </c>
      <c r="J667" s="36">
        <f t="shared" si="147"/>
        <v>0</v>
      </c>
      <c r="K667" s="7">
        <f t="shared" si="155"/>
        <v>0</v>
      </c>
      <c r="L667" s="36">
        <f t="shared" si="144"/>
        <v>0</v>
      </c>
      <c r="M667" s="7">
        <f t="shared" si="155"/>
        <v>0</v>
      </c>
      <c r="N667" s="36">
        <f t="shared" si="145"/>
        <v>0</v>
      </c>
      <c r="O667" s="7">
        <f t="shared" si="155"/>
        <v>0</v>
      </c>
      <c r="P667" s="36">
        <f t="shared" si="141"/>
        <v>0</v>
      </c>
      <c r="Q667" s="7">
        <f t="shared" si="155"/>
        <v>0</v>
      </c>
      <c r="R667" s="36">
        <f t="shared" si="142"/>
        <v>0</v>
      </c>
    </row>
    <row r="668" spans="1:18" ht="12.75" hidden="1">
      <c r="A668" s="12" t="s">
        <v>197</v>
      </c>
      <c r="B668" s="44" t="s">
        <v>588</v>
      </c>
      <c r="C668" s="8" t="s">
        <v>196</v>
      </c>
      <c r="D668" s="1" t="s">
        <v>225</v>
      </c>
      <c r="E668" s="115"/>
      <c r="F668" s="7">
        <f t="shared" si="155"/>
        <v>0</v>
      </c>
      <c r="G668" s="7">
        <f t="shared" si="155"/>
        <v>0</v>
      </c>
      <c r="H668" s="36">
        <f t="shared" si="150"/>
        <v>0</v>
      </c>
      <c r="I668" s="7">
        <f t="shared" si="155"/>
        <v>0</v>
      </c>
      <c r="J668" s="36">
        <f t="shared" si="147"/>
        <v>0</v>
      </c>
      <c r="K668" s="7">
        <f t="shared" si="155"/>
        <v>0</v>
      </c>
      <c r="L668" s="36">
        <f t="shared" si="144"/>
        <v>0</v>
      </c>
      <c r="M668" s="7">
        <f t="shared" si="155"/>
        <v>0</v>
      </c>
      <c r="N668" s="36">
        <f t="shared" si="145"/>
        <v>0</v>
      </c>
      <c r="O668" s="7">
        <f t="shared" si="155"/>
        <v>0</v>
      </c>
      <c r="P668" s="36">
        <f t="shared" si="141"/>
        <v>0</v>
      </c>
      <c r="Q668" s="7">
        <f t="shared" si="155"/>
        <v>0</v>
      </c>
      <c r="R668" s="36">
        <f t="shared" si="142"/>
        <v>0</v>
      </c>
    </row>
    <row r="669" spans="1:18" ht="12.75" hidden="1">
      <c r="A669" s="62" t="str">
        <f ca="1">IF(ISERROR(MATCH(E669,Код_КВР,0)),"",INDIRECT(ADDRESS(MATCH(E669,Код_КВР,0)+1,2,,,"КВР")))</f>
        <v>Закупка товаров, работ и услуг для муниципальных нужд</v>
      </c>
      <c r="B669" s="44" t="s">
        <v>588</v>
      </c>
      <c r="C669" s="8" t="s">
        <v>196</v>
      </c>
      <c r="D669" s="1" t="s">
        <v>225</v>
      </c>
      <c r="E669" s="115">
        <v>200</v>
      </c>
      <c r="F669" s="7">
        <f t="shared" si="155"/>
        <v>0</v>
      </c>
      <c r="G669" s="7">
        <f t="shared" si="155"/>
        <v>0</v>
      </c>
      <c r="H669" s="36">
        <f t="shared" si="150"/>
        <v>0</v>
      </c>
      <c r="I669" s="7">
        <f t="shared" si="155"/>
        <v>0</v>
      </c>
      <c r="J669" s="36">
        <f t="shared" si="147"/>
        <v>0</v>
      </c>
      <c r="K669" s="7">
        <f t="shared" si="155"/>
        <v>0</v>
      </c>
      <c r="L669" s="36">
        <f t="shared" si="144"/>
        <v>0</v>
      </c>
      <c r="M669" s="7">
        <f t="shared" si="155"/>
        <v>0</v>
      </c>
      <c r="N669" s="36">
        <f t="shared" si="145"/>
        <v>0</v>
      </c>
      <c r="O669" s="7">
        <f t="shared" si="155"/>
        <v>0</v>
      </c>
      <c r="P669" s="36">
        <f t="shared" si="141"/>
        <v>0</v>
      </c>
      <c r="Q669" s="7">
        <f t="shared" si="155"/>
        <v>0</v>
      </c>
      <c r="R669" s="36">
        <f t="shared" si="142"/>
        <v>0</v>
      </c>
    </row>
    <row r="670" spans="1:18" ht="33" hidden="1">
      <c r="A670" s="62" t="str">
        <f ca="1">IF(ISERROR(MATCH(E670,Код_КВР,0)),"",INDIRECT(ADDRESS(MATCH(E670,Код_КВР,0)+1,2,,,"КВР")))</f>
        <v>Иные закупки товаров, работ и услуг для обеспечения муниципальных нужд</v>
      </c>
      <c r="B670" s="44" t="s">
        <v>588</v>
      </c>
      <c r="C670" s="8" t="s">
        <v>196</v>
      </c>
      <c r="D670" s="1" t="s">
        <v>225</v>
      </c>
      <c r="E670" s="115">
        <v>240</v>
      </c>
      <c r="F670" s="7">
        <f t="shared" si="155"/>
        <v>0</v>
      </c>
      <c r="G670" s="7">
        <f t="shared" si="155"/>
        <v>0</v>
      </c>
      <c r="H670" s="36">
        <f t="shared" si="150"/>
        <v>0</v>
      </c>
      <c r="I670" s="7">
        <f t="shared" si="155"/>
        <v>0</v>
      </c>
      <c r="J670" s="36">
        <f t="shared" si="147"/>
        <v>0</v>
      </c>
      <c r="K670" s="7">
        <f t="shared" si="155"/>
        <v>0</v>
      </c>
      <c r="L670" s="36">
        <f t="shared" si="144"/>
        <v>0</v>
      </c>
      <c r="M670" s="7">
        <f t="shared" si="155"/>
        <v>0</v>
      </c>
      <c r="N670" s="36">
        <f t="shared" si="145"/>
        <v>0</v>
      </c>
      <c r="O670" s="7">
        <f t="shared" si="155"/>
        <v>0</v>
      </c>
      <c r="P670" s="36">
        <f t="shared" si="141"/>
        <v>0</v>
      </c>
      <c r="Q670" s="7">
        <f t="shared" si="155"/>
        <v>0</v>
      </c>
      <c r="R670" s="36">
        <f t="shared" si="142"/>
        <v>0</v>
      </c>
    </row>
    <row r="671" spans="1:18" ht="39" customHeight="1" hidden="1">
      <c r="A671" s="62" t="str">
        <f ca="1">IF(ISERROR(MATCH(E671,Код_КВР,0)),"",INDIRECT(ADDRESS(MATCH(E671,Код_КВР,0)+1,2,,,"КВР")))</f>
        <v xml:space="preserve">Прочая закупка товаров, работ и услуг для обеспечения муниципальных нужд         </v>
      </c>
      <c r="B671" s="44" t="s">
        <v>588</v>
      </c>
      <c r="C671" s="8" t="s">
        <v>196</v>
      </c>
      <c r="D671" s="1" t="s">
        <v>225</v>
      </c>
      <c r="E671" s="115">
        <v>244</v>
      </c>
      <c r="F671" s="7">
        <f>'прил.5'!G1326</f>
        <v>0</v>
      </c>
      <c r="G671" s="7">
        <f>'прил.5'!H1326</f>
        <v>0</v>
      </c>
      <c r="H671" s="36">
        <f t="shared" si="150"/>
        <v>0</v>
      </c>
      <c r="I671" s="7">
        <f>'прил.5'!J1326</f>
        <v>0</v>
      </c>
      <c r="J671" s="36">
        <f t="shared" si="147"/>
        <v>0</v>
      </c>
      <c r="K671" s="7">
        <f>'прил.5'!L1326</f>
        <v>0</v>
      </c>
      <c r="L671" s="36">
        <f t="shared" si="144"/>
        <v>0</v>
      </c>
      <c r="M671" s="7">
        <f>'прил.5'!N1326</f>
        <v>0</v>
      </c>
      <c r="N671" s="36">
        <f t="shared" si="145"/>
        <v>0</v>
      </c>
      <c r="O671" s="7">
        <f>'прил.5'!P1326</f>
        <v>0</v>
      </c>
      <c r="P671" s="36">
        <f t="shared" si="141"/>
        <v>0</v>
      </c>
      <c r="Q671" s="7">
        <f>'прил.5'!R1326</f>
        <v>0</v>
      </c>
      <c r="R671" s="36">
        <f t="shared" si="142"/>
        <v>0</v>
      </c>
    </row>
    <row r="672" spans="1:18" ht="12.75">
      <c r="A672" s="62" t="str">
        <f ca="1">IF(ISERROR(MATCH(B672,Код_КЦСР,0)),"",INDIRECT(ADDRESS(MATCH(B672,Код_КЦСР,0)+1,2,,,"КЦСР")))</f>
        <v>Активное долголетие</v>
      </c>
      <c r="B672" s="44" t="s">
        <v>590</v>
      </c>
      <c r="C672" s="8"/>
      <c r="D672" s="1"/>
      <c r="E672" s="115"/>
      <c r="F672" s="7">
        <f>F673+F678</f>
        <v>50</v>
      </c>
      <c r="G672" s="7">
        <f>G673+G678</f>
        <v>0</v>
      </c>
      <c r="H672" s="36">
        <f t="shared" si="150"/>
        <v>50</v>
      </c>
      <c r="I672" s="7">
        <f>I673+I678</f>
        <v>0</v>
      </c>
      <c r="J672" s="36">
        <f t="shared" si="147"/>
        <v>50</v>
      </c>
      <c r="K672" s="7">
        <f>K673+K678</f>
        <v>0</v>
      </c>
      <c r="L672" s="36">
        <f t="shared" si="144"/>
        <v>50</v>
      </c>
      <c r="M672" s="7">
        <f>M673+M678</f>
        <v>0</v>
      </c>
      <c r="N672" s="36">
        <f t="shared" si="145"/>
        <v>50</v>
      </c>
      <c r="O672" s="7">
        <f>O673+O678</f>
        <v>0</v>
      </c>
      <c r="P672" s="36">
        <f t="shared" si="141"/>
        <v>50</v>
      </c>
      <c r="Q672" s="7">
        <f>Q673+Q678</f>
        <v>0</v>
      </c>
      <c r="R672" s="36">
        <f t="shared" si="142"/>
        <v>50</v>
      </c>
    </row>
    <row r="673" spans="1:18" ht="12.75" hidden="1">
      <c r="A673" s="62" t="str">
        <f ca="1">IF(ISERROR(MATCH(C673,Код_Раздел,0)),"",INDIRECT(ADDRESS(MATCH(C673,Код_Раздел,0)+1,2,,,"Раздел")))</f>
        <v>Культура, кинематография</v>
      </c>
      <c r="B673" s="44" t="s">
        <v>590</v>
      </c>
      <c r="C673" s="8" t="s">
        <v>230</v>
      </c>
      <c r="D673" s="1"/>
      <c r="E673" s="115"/>
      <c r="F673" s="7">
        <f aca="true" t="shared" si="156" ref="F673:Q676">F674</f>
        <v>0</v>
      </c>
      <c r="G673" s="7">
        <f t="shared" si="156"/>
        <v>0</v>
      </c>
      <c r="H673" s="36">
        <f t="shared" si="150"/>
        <v>0</v>
      </c>
      <c r="I673" s="7">
        <f t="shared" si="156"/>
        <v>0</v>
      </c>
      <c r="J673" s="36">
        <f t="shared" si="147"/>
        <v>0</v>
      </c>
      <c r="K673" s="7">
        <f t="shared" si="156"/>
        <v>0</v>
      </c>
      <c r="L673" s="36">
        <f t="shared" si="144"/>
        <v>0</v>
      </c>
      <c r="M673" s="7">
        <f t="shared" si="156"/>
        <v>0</v>
      </c>
      <c r="N673" s="36">
        <f t="shared" si="145"/>
        <v>0</v>
      </c>
      <c r="O673" s="7">
        <f t="shared" si="156"/>
        <v>0</v>
      </c>
      <c r="P673" s="36">
        <f t="shared" si="141"/>
        <v>0</v>
      </c>
      <c r="Q673" s="7">
        <f t="shared" si="156"/>
        <v>0</v>
      </c>
      <c r="R673" s="36">
        <f t="shared" si="142"/>
        <v>0</v>
      </c>
    </row>
    <row r="674" spans="1:18" ht="12.75" hidden="1">
      <c r="A674" s="12" t="s">
        <v>171</v>
      </c>
      <c r="B674" s="44" t="s">
        <v>590</v>
      </c>
      <c r="C674" s="8" t="s">
        <v>230</v>
      </c>
      <c r="D674" s="1" t="s">
        <v>224</v>
      </c>
      <c r="E674" s="115"/>
      <c r="F674" s="7">
        <f t="shared" si="156"/>
        <v>0</v>
      </c>
      <c r="G674" s="7">
        <f t="shared" si="156"/>
        <v>0</v>
      </c>
      <c r="H674" s="36">
        <f t="shared" si="150"/>
        <v>0</v>
      </c>
      <c r="I674" s="7">
        <f t="shared" si="156"/>
        <v>0</v>
      </c>
      <c r="J674" s="36">
        <f t="shared" si="147"/>
        <v>0</v>
      </c>
      <c r="K674" s="7">
        <f t="shared" si="156"/>
        <v>0</v>
      </c>
      <c r="L674" s="36">
        <f t="shared" si="144"/>
        <v>0</v>
      </c>
      <c r="M674" s="7">
        <f t="shared" si="156"/>
        <v>0</v>
      </c>
      <c r="N674" s="36">
        <f t="shared" si="145"/>
        <v>0</v>
      </c>
      <c r="O674" s="7">
        <f t="shared" si="156"/>
        <v>0</v>
      </c>
      <c r="P674" s="36">
        <f t="shared" si="141"/>
        <v>0</v>
      </c>
      <c r="Q674" s="7">
        <f t="shared" si="156"/>
        <v>0</v>
      </c>
      <c r="R674" s="36">
        <f t="shared" si="142"/>
        <v>0</v>
      </c>
    </row>
    <row r="675" spans="1:18" ht="12.75" hidden="1">
      <c r="A675" s="62" t="str">
        <f ca="1">IF(ISERROR(MATCH(E675,Код_КВР,0)),"",INDIRECT(ADDRESS(MATCH(E675,Код_КВР,0)+1,2,,,"КВР")))</f>
        <v>Закупка товаров, работ и услуг для муниципальных нужд</v>
      </c>
      <c r="B675" s="44" t="s">
        <v>590</v>
      </c>
      <c r="C675" s="8" t="s">
        <v>230</v>
      </c>
      <c r="D675" s="1" t="s">
        <v>224</v>
      </c>
      <c r="E675" s="115">
        <v>200</v>
      </c>
      <c r="F675" s="7">
        <f t="shared" si="156"/>
        <v>0</v>
      </c>
      <c r="G675" s="7">
        <f t="shared" si="156"/>
        <v>0</v>
      </c>
      <c r="H675" s="36">
        <f t="shared" si="150"/>
        <v>0</v>
      </c>
      <c r="I675" s="7">
        <f t="shared" si="156"/>
        <v>0</v>
      </c>
      <c r="J675" s="36">
        <f t="shared" si="147"/>
        <v>0</v>
      </c>
      <c r="K675" s="7">
        <f t="shared" si="156"/>
        <v>0</v>
      </c>
      <c r="L675" s="36">
        <f t="shared" si="144"/>
        <v>0</v>
      </c>
      <c r="M675" s="7">
        <f t="shared" si="156"/>
        <v>0</v>
      </c>
      <c r="N675" s="36">
        <f t="shared" si="145"/>
        <v>0</v>
      </c>
      <c r="O675" s="7">
        <f t="shared" si="156"/>
        <v>0</v>
      </c>
      <c r="P675" s="36">
        <f t="shared" si="141"/>
        <v>0</v>
      </c>
      <c r="Q675" s="7">
        <f t="shared" si="156"/>
        <v>0</v>
      </c>
      <c r="R675" s="36">
        <f t="shared" si="142"/>
        <v>0</v>
      </c>
    </row>
    <row r="676" spans="1:18" ht="33" hidden="1">
      <c r="A676" s="62" t="str">
        <f ca="1">IF(ISERROR(MATCH(E676,Код_КВР,0)),"",INDIRECT(ADDRESS(MATCH(E676,Код_КВР,0)+1,2,,,"КВР")))</f>
        <v>Иные закупки товаров, работ и услуг для обеспечения муниципальных нужд</v>
      </c>
      <c r="B676" s="44" t="s">
        <v>590</v>
      </c>
      <c r="C676" s="8" t="s">
        <v>230</v>
      </c>
      <c r="D676" s="1" t="s">
        <v>224</v>
      </c>
      <c r="E676" s="115">
        <v>240</v>
      </c>
      <c r="F676" s="7">
        <f t="shared" si="156"/>
        <v>0</v>
      </c>
      <c r="G676" s="7">
        <f t="shared" si="156"/>
        <v>0</v>
      </c>
      <c r="H676" s="36">
        <f t="shared" si="150"/>
        <v>0</v>
      </c>
      <c r="I676" s="7">
        <f t="shared" si="156"/>
        <v>0</v>
      </c>
      <c r="J676" s="36">
        <f t="shared" si="147"/>
        <v>0</v>
      </c>
      <c r="K676" s="7">
        <f t="shared" si="156"/>
        <v>0</v>
      </c>
      <c r="L676" s="36">
        <f t="shared" si="144"/>
        <v>0</v>
      </c>
      <c r="M676" s="7">
        <f t="shared" si="156"/>
        <v>0</v>
      </c>
      <c r="N676" s="36">
        <f t="shared" si="145"/>
        <v>0</v>
      </c>
      <c r="O676" s="7">
        <f t="shared" si="156"/>
        <v>0</v>
      </c>
      <c r="P676" s="36">
        <f t="shared" si="141"/>
        <v>0</v>
      </c>
      <c r="Q676" s="7">
        <f t="shared" si="156"/>
        <v>0</v>
      </c>
      <c r="R676" s="36">
        <f t="shared" si="142"/>
        <v>0</v>
      </c>
    </row>
    <row r="677" spans="1:18" ht="33" hidden="1">
      <c r="A677" s="62" t="str">
        <f ca="1">IF(ISERROR(MATCH(E677,Код_КВР,0)),"",INDIRECT(ADDRESS(MATCH(E677,Код_КВР,0)+1,2,,,"КВР")))</f>
        <v xml:space="preserve">Прочая закупка товаров, работ и услуг для обеспечения муниципальных нужд         </v>
      </c>
      <c r="B677" s="44" t="s">
        <v>590</v>
      </c>
      <c r="C677" s="8" t="s">
        <v>230</v>
      </c>
      <c r="D677" s="1" t="s">
        <v>224</v>
      </c>
      <c r="E677" s="115">
        <v>244</v>
      </c>
      <c r="F677" s="7">
        <f>'прил.5'!G1102</f>
        <v>0</v>
      </c>
      <c r="G677" s="7">
        <f>'прил.5'!H1102</f>
        <v>0</v>
      </c>
      <c r="H677" s="36">
        <f t="shared" si="150"/>
        <v>0</v>
      </c>
      <c r="I677" s="7">
        <f>'прил.5'!J1102</f>
        <v>0</v>
      </c>
      <c r="J677" s="36">
        <f t="shared" si="147"/>
        <v>0</v>
      </c>
      <c r="K677" s="7">
        <f>'прил.5'!L1102</f>
        <v>0</v>
      </c>
      <c r="L677" s="36">
        <f t="shared" si="144"/>
        <v>0</v>
      </c>
      <c r="M677" s="7">
        <f>'прил.5'!N1102</f>
        <v>0</v>
      </c>
      <c r="N677" s="36">
        <f t="shared" si="145"/>
        <v>0</v>
      </c>
      <c r="O677" s="7">
        <f>'прил.5'!P1102</f>
        <v>0</v>
      </c>
      <c r="P677" s="36">
        <f t="shared" si="141"/>
        <v>0</v>
      </c>
      <c r="Q677" s="7">
        <f>'прил.5'!R1102</f>
        <v>0</v>
      </c>
      <c r="R677" s="36">
        <f t="shared" si="142"/>
        <v>0</v>
      </c>
    </row>
    <row r="678" spans="1:18" ht="12.75">
      <c r="A678" s="62" t="str">
        <f ca="1">IF(ISERROR(MATCH(C678,Код_Раздел,0)),"",INDIRECT(ADDRESS(MATCH(C678,Код_Раздел,0)+1,2,,,"Раздел")))</f>
        <v>Социальная политика</v>
      </c>
      <c r="B678" s="44" t="s">
        <v>590</v>
      </c>
      <c r="C678" s="8" t="s">
        <v>196</v>
      </c>
      <c r="D678" s="1"/>
      <c r="E678" s="115"/>
      <c r="F678" s="7">
        <f aca="true" t="shared" si="157" ref="F678:Q681">F679</f>
        <v>50</v>
      </c>
      <c r="G678" s="7">
        <f t="shared" si="157"/>
        <v>0</v>
      </c>
      <c r="H678" s="36">
        <f t="shared" si="150"/>
        <v>50</v>
      </c>
      <c r="I678" s="7">
        <f t="shared" si="157"/>
        <v>0</v>
      </c>
      <c r="J678" s="36">
        <f t="shared" si="147"/>
        <v>50</v>
      </c>
      <c r="K678" s="7">
        <f t="shared" si="157"/>
        <v>0</v>
      </c>
      <c r="L678" s="36">
        <f t="shared" si="144"/>
        <v>50</v>
      </c>
      <c r="M678" s="7">
        <f t="shared" si="157"/>
        <v>0</v>
      </c>
      <c r="N678" s="36">
        <f t="shared" si="145"/>
        <v>50</v>
      </c>
      <c r="O678" s="7">
        <f t="shared" si="157"/>
        <v>0</v>
      </c>
      <c r="P678" s="36">
        <f t="shared" si="141"/>
        <v>50</v>
      </c>
      <c r="Q678" s="7">
        <f t="shared" si="157"/>
        <v>0</v>
      </c>
      <c r="R678" s="36">
        <f t="shared" si="142"/>
        <v>50</v>
      </c>
    </row>
    <row r="679" spans="1:18" ht="12.75">
      <c r="A679" s="12" t="s">
        <v>197</v>
      </c>
      <c r="B679" s="44" t="s">
        <v>590</v>
      </c>
      <c r="C679" s="8" t="s">
        <v>196</v>
      </c>
      <c r="D679" s="1" t="s">
        <v>225</v>
      </c>
      <c r="E679" s="115"/>
      <c r="F679" s="7">
        <f t="shared" si="157"/>
        <v>50</v>
      </c>
      <c r="G679" s="7">
        <f t="shared" si="157"/>
        <v>0</v>
      </c>
      <c r="H679" s="36">
        <f t="shared" si="150"/>
        <v>50</v>
      </c>
      <c r="I679" s="7">
        <f t="shared" si="157"/>
        <v>0</v>
      </c>
      <c r="J679" s="36">
        <f t="shared" si="147"/>
        <v>50</v>
      </c>
      <c r="K679" s="7">
        <f t="shared" si="157"/>
        <v>0</v>
      </c>
      <c r="L679" s="36">
        <f t="shared" si="144"/>
        <v>50</v>
      </c>
      <c r="M679" s="7">
        <f t="shared" si="157"/>
        <v>0</v>
      </c>
      <c r="N679" s="36">
        <f t="shared" si="145"/>
        <v>50</v>
      </c>
      <c r="O679" s="7">
        <f t="shared" si="157"/>
        <v>0</v>
      </c>
      <c r="P679" s="36">
        <f t="shared" si="141"/>
        <v>50</v>
      </c>
      <c r="Q679" s="7">
        <f t="shared" si="157"/>
        <v>0</v>
      </c>
      <c r="R679" s="36">
        <f t="shared" si="142"/>
        <v>50</v>
      </c>
    </row>
    <row r="680" spans="1:18" ht="20.25" customHeight="1">
      <c r="A680" s="62" t="str">
        <f ca="1">IF(ISERROR(MATCH(E680,Код_КВР,0)),"",INDIRECT(ADDRESS(MATCH(E680,Код_КВР,0)+1,2,,,"КВР")))</f>
        <v>Закупка товаров, работ и услуг для муниципальных нужд</v>
      </c>
      <c r="B680" s="44" t="s">
        <v>590</v>
      </c>
      <c r="C680" s="8" t="s">
        <v>196</v>
      </c>
      <c r="D680" s="1" t="s">
        <v>225</v>
      </c>
      <c r="E680" s="115">
        <v>200</v>
      </c>
      <c r="F680" s="7">
        <f t="shared" si="157"/>
        <v>50</v>
      </c>
      <c r="G680" s="7">
        <f t="shared" si="157"/>
        <v>0</v>
      </c>
      <c r="H680" s="36">
        <f t="shared" si="150"/>
        <v>50</v>
      </c>
      <c r="I680" s="7">
        <f t="shared" si="157"/>
        <v>0</v>
      </c>
      <c r="J680" s="36">
        <f t="shared" si="147"/>
        <v>50</v>
      </c>
      <c r="K680" s="7">
        <f t="shared" si="157"/>
        <v>0</v>
      </c>
      <c r="L680" s="36">
        <f t="shared" si="144"/>
        <v>50</v>
      </c>
      <c r="M680" s="7">
        <f t="shared" si="157"/>
        <v>0</v>
      </c>
      <c r="N680" s="36">
        <f t="shared" si="145"/>
        <v>50</v>
      </c>
      <c r="O680" s="7">
        <f t="shared" si="157"/>
        <v>0</v>
      </c>
      <c r="P680" s="36">
        <f t="shared" si="141"/>
        <v>50</v>
      </c>
      <c r="Q680" s="7">
        <f t="shared" si="157"/>
        <v>0</v>
      </c>
      <c r="R680" s="36">
        <f t="shared" si="142"/>
        <v>50</v>
      </c>
    </row>
    <row r="681" spans="1:18" ht="33.75" customHeight="1">
      <c r="A681" s="62" t="str">
        <f ca="1">IF(ISERROR(MATCH(E681,Код_КВР,0)),"",INDIRECT(ADDRESS(MATCH(E681,Код_КВР,0)+1,2,,,"КВР")))</f>
        <v>Иные закупки товаров, работ и услуг для обеспечения муниципальных нужд</v>
      </c>
      <c r="B681" s="44" t="s">
        <v>590</v>
      </c>
      <c r="C681" s="8" t="s">
        <v>196</v>
      </c>
      <c r="D681" s="1" t="s">
        <v>225</v>
      </c>
      <c r="E681" s="115">
        <v>240</v>
      </c>
      <c r="F681" s="7">
        <f t="shared" si="157"/>
        <v>50</v>
      </c>
      <c r="G681" s="7">
        <f t="shared" si="157"/>
        <v>0</v>
      </c>
      <c r="H681" s="36">
        <f t="shared" si="150"/>
        <v>50</v>
      </c>
      <c r="I681" s="7">
        <f t="shared" si="157"/>
        <v>0</v>
      </c>
      <c r="J681" s="36">
        <f t="shared" si="147"/>
        <v>50</v>
      </c>
      <c r="K681" s="7">
        <f t="shared" si="157"/>
        <v>0</v>
      </c>
      <c r="L681" s="36">
        <f t="shared" si="144"/>
        <v>50</v>
      </c>
      <c r="M681" s="7">
        <f t="shared" si="157"/>
        <v>0</v>
      </c>
      <c r="N681" s="36">
        <f t="shared" si="145"/>
        <v>50</v>
      </c>
      <c r="O681" s="7">
        <f t="shared" si="157"/>
        <v>0</v>
      </c>
      <c r="P681" s="36">
        <f t="shared" si="141"/>
        <v>50</v>
      </c>
      <c r="Q681" s="7">
        <f t="shared" si="157"/>
        <v>0</v>
      </c>
      <c r="R681" s="36">
        <f t="shared" si="142"/>
        <v>50</v>
      </c>
    </row>
    <row r="682" spans="1:18" ht="36" customHeight="1">
      <c r="A682" s="62" t="str">
        <f ca="1">IF(ISERROR(MATCH(E682,Код_КВР,0)),"",INDIRECT(ADDRESS(MATCH(E682,Код_КВР,0)+1,2,,,"КВР")))</f>
        <v xml:space="preserve">Прочая закупка товаров, работ и услуг для обеспечения муниципальных нужд         </v>
      </c>
      <c r="B682" s="44" t="s">
        <v>590</v>
      </c>
      <c r="C682" s="8" t="s">
        <v>196</v>
      </c>
      <c r="D682" s="1" t="s">
        <v>225</v>
      </c>
      <c r="E682" s="115">
        <v>244</v>
      </c>
      <c r="F682" s="7">
        <f>'прил.5'!G1330</f>
        <v>50</v>
      </c>
      <c r="G682" s="7">
        <f>'прил.5'!H1330</f>
        <v>0</v>
      </c>
      <c r="H682" s="36">
        <f t="shared" si="150"/>
        <v>50</v>
      </c>
      <c r="I682" s="7">
        <f>'прил.5'!J1330</f>
        <v>0</v>
      </c>
      <c r="J682" s="36">
        <f t="shared" si="147"/>
        <v>50</v>
      </c>
      <c r="K682" s="7">
        <f>'прил.5'!L1330</f>
        <v>0</v>
      </c>
      <c r="L682" s="36">
        <f t="shared" si="144"/>
        <v>50</v>
      </c>
      <c r="M682" s="7">
        <f>'прил.5'!N1330</f>
        <v>0</v>
      </c>
      <c r="N682" s="36">
        <f t="shared" si="145"/>
        <v>50</v>
      </c>
      <c r="O682" s="7">
        <f>'прил.5'!P1330</f>
        <v>0</v>
      </c>
      <c r="P682" s="36">
        <f t="shared" si="141"/>
        <v>50</v>
      </c>
      <c r="Q682" s="7">
        <f>'прил.5'!R1330</f>
        <v>0</v>
      </c>
      <c r="R682" s="36">
        <f t="shared" si="142"/>
        <v>50</v>
      </c>
    </row>
    <row r="683" spans="1:18" ht="33">
      <c r="A683" s="62" t="str">
        <f ca="1">IF(ISERROR(MATCH(B683,Код_КЦСР,0)),"",INDIRECT(ADDRESS(MATCH(B683,Код_КЦСР,0)+1,2,,,"КЦСР")))</f>
        <v>Муниципальная программа «iCity – Современные информационные технологии г. Череповца»  на 2014-2020 годы</v>
      </c>
      <c r="B683" s="44" t="s">
        <v>592</v>
      </c>
      <c r="C683" s="8"/>
      <c r="D683" s="1"/>
      <c r="E683" s="115"/>
      <c r="F683" s="7">
        <f>F684+F690</f>
        <v>46345.3</v>
      </c>
      <c r="G683" s="7">
        <f>G684+G690</f>
        <v>0</v>
      </c>
      <c r="H683" s="36">
        <f t="shared" si="150"/>
        <v>46345.3</v>
      </c>
      <c r="I683" s="7">
        <f>I684+I690</f>
        <v>2175.7</v>
      </c>
      <c r="J683" s="36">
        <f t="shared" si="147"/>
        <v>48521</v>
      </c>
      <c r="K683" s="7">
        <f>K684+K690</f>
        <v>-642.5</v>
      </c>
      <c r="L683" s="36">
        <f t="shared" si="144"/>
        <v>47878.5</v>
      </c>
      <c r="M683" s="7">
        <f>M684+M690</f>
        <v>41.6</v>
      </c>
      <c r="N683" s="36">
        <f t="shared" si="145"/>
        <v>47920.1</v>
      </c>
      <c r="O683" s="7">
        <f>O684+O690</f>
        <v>1200</v>
      </c>
      <c r="P683" s="36">
        <f t="shared" si="141"/>
        <v>49120.1</v>
      </c>
      <c r="Q683" s="7">
        <f>Q684+Q690</f>
        <v>0</v>
      </c>
      <c r="R683" s="36">
        <f t="shared" si="142"/>
        <v>49120.1</v>
      </c>
    </row>
    <row r="684" spans="1:18" ht="56.25" customHeight="1">
      <c r="A684" s="62" t="str">
        <f ca="1">IF(ISERROR(MATCH(B684,Код_КЦСР,0)),"",INDIRECT(ADDRESS(MATCH(B684,Код_КЦСР,0)+1,2,,,"КЦСР")))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84" s="44" t="s">
        <v>594</v>
      </c>
      <c r="C684" s="8"/>
      <c r="D684" s="1"/>
      <c r="E684" s="115"/>
      <c r="F684" s="7">
        <f aca="true" t="shared" si="158" ref="F684:Q688">F685</f>
        <v>736</v>
      </c>
      <c r="G684" s="7">
        <f t="shared" si="158"/>
        <v>0</v>
      </c>
      <c r="H684" s="36">
        <f t="shared" si="150"/>
        <v>736</v>
      </c>
      <c r="I684" s="7">
        <f t="shared" si="158"/>
        <v>500</v>
      </c>
      <c r="J684" s="36">
        <f t="shared" si="147"/>
        <v>1236</v>
      </c>
      <c r="K684" s="7">
        <f t="shared" si="158"/>
        <v>0</v>
      </c>
      <c r="L684" s="36">
        <f t="shared" si="144"/>
        <v>1236</v>
      </c>
      <c r="M684" s="7">
        <f t="shared" si="158"/>
        <v>0</v>
      </c>
      <c r="N684" s="36">
        <f t="shared" si="145"/>
        <v>1236</v>
      </c>
      <c r="O684" s="7">
        <f t="shared" si="158"/>
        <v>0</v>
      </c>
      <c r="P684" s="36">
        <f aca="true" t="shared" si="159" ref="P684:P753">N684+O684</f>
        <v>1236</v>
      </c>
      <c r="Q684" s="7">
        <f t="shared" si="158"/>
        <v>0</v>
      </c>
      <c r="R684" s="36">
        <f aca="true" t="shared" si="160" ref="R684:R753">P684+Q684</f>
        <v>1236</v>
      </c>
    </row>
    <row r="685" spans="1:18" ht="12.75">
      <c r="A685" s="62" t="str">
        <f ca="1">IF(ISERROR(MATCH(C685,Код_Раздел,0)),"",INDIRECT(ADDRESS(MATCH(C685,Код_Раздел,0)+1,2,,,"Раздел")))</f>
        <v>Национальная экономика</v>
      </c>
      <c r="B685" s="44" t="s">
        <v>594</v>
      </c>
      <c r="C685" s="8" t="s">
        <v>224</v>
      </c>
      <c r="D685" s="1"/>
      <c r="E685" s="115"/>
      <c r="F685" s="7">
        <f t="shared" si="158"/>
        <v>736</v>
      </c>
      <c r="G685" s="7">
        <f t="shared" si="158"/>
        <v>0</v>
      </c>
      <c r="H685" s="36">
        <f t="shared" si="150"/>
        <v>736</v>
      </c>
      <c r="I685" s="7">
        <f t="shared" si="158"/>
        <v>500</v>
      </c>
      <c r="J685" s="36">
        <f t="shared" si="147"/>
        <v>1236</v>
      </c>
      <c r="K685" s="7">
        <f t="shared" si="158"/>
        <v>0</v>
      </c>
      <c r="L685" s="36">
        <f t="shared" si="144"/>
        <v>1236</v>
      </c>
      <c r="M685" s="7">
        <f t="shared" si="158"/>
        <v>0</v>
      </c>
      <c r="N685" s="36">
        <f t="shared" si="145"/>
        <v>1236</v>
      </c>
      <c r="O685" s="7">
        <f t="shared" si="158"/>
        <v>0</v>
      </c>
      <c r="P685" s="36">
        <f t="shared" si="159"/>
        <v>1236</v>
      </c>
      <c r="Q685" s="7">
        <f t="shared" si="158"/>
        <v>0</v>
      </c>
      <c r="R685" s="36">
        <f t="shared" si="160"/>
        <v>1236</v>
      </c>
    </row>
    <row r="686" spans="1:18" ht="12.75">
      <c r="A686" s="12" t="s">
        <v>238</v>
      </c>
      <c r="B686" s="44" t="s">
        <v>594</v>
      </c>
      <c r="C686" s="8" t="s">
        <v>224</v>
      </c>
      <c r="D686" s="1" t="s">
        <v>196</v>
      </c>
      <c r="E686" s="115"/>
      <c r="F686" s="7">
        <f t="shared" si="158"/>
        <v>736</v>
      </c>
      <c r="G686" s="7">
        <f t="shared" si="158"/>
        <v>0</v>
      </c>
      <c r="H686" s="36">
        <f t="shared" si="150"/>
        <v>736</v>
      </c>
      <c r="I686" s="7">
        <f t="shared" si="158"/>
        <v>500</v>
      </c>
      <c r="J686" s="36">
        <f t="shared" si="147"/>
        <v>1236</v>
      </c>
      <c r="K686" s="7">
        <f t="shared" si="158"/>
        <v>0</v>
      </c>
      <c r="L686" s="36">
        <f t="shared" si="144"/>
        <v>1236</v>
      </c>
      <c r="M686" s="7">
        <f t="shared" si="158"/>
        <v>0</v>
      </c>
      <c r="N686" s="36">
        <f t="shared" si="145"/>
        <v>1236</v>
      </c>
      <c r="O686" s="7">
        <f t="shared" si="158"/>
        <v>0</v>
      </c>
      <c r="P686" s="36">
        <f t="shared" si="159"/>
        <v>1236</v>
      </c>
      <c r="Q686" s="7">
        <f t="shared" si="158"/>
        <v>0</v>
      </c>
      <c r="R686" s="36">
        <f t="shared" si="160"/>
        <v>1236</v>
      </c>
    </row>
    <row r="687" spans="1:18" ht="36.75" customHeight="1">
      <c r="A687" s="62" t="str">
        <f ca="1">IF(ISERROR(MATCH(E687,Код_КВР,0)),"",INDIRECT(ADDRESS(MATCH(E687,Код_КВР,0)+1,2,,,"КВР")))</f>
        <v>Предоставление субсидий бюджетным, автономным учреждениям и иным некоммерческим организациям</v>
      </c>
      <c r="B687" s="44" t="s">
        <v>594</v>
      </c>
      <c r="C687" s="8" t="s">
        <v>224</v>
      </c>
      <c r="D687" s="1" t="s">
        <v>196</v>
      </c>
      <c r="E687" s="115">
        <v>600</v>
      </c>
      <c r="F687" s="7">
        <f t="shared" si="158"/>
        <v>736</v>
      </c>
      <c r="G687" s="7">
        <f t="shared" si="158"/>
        <v>0</v>
      </c>
      <c r="H687" s="36">
        <f t="shared" si="150"/>
        <v>736</v>
      </c>
      <c r="I687" s="7">
        <f t="shared" si="158"/>
        <v>500</v>
      </c>
      <c r="J687" s="36">
        <f t="shared" si="147"/>
        <v>1236</v>
      </c>
      <c r="K687" s="7">
        <f t="shared" si="158"/>
        <v>0</v>
      </c>
      <c r="L687" s="36">
        <f t="shared" si="144"/>
        <v>1236</v>
      </c>
      <c r="M687" s="7">
        <f t="shared" si="158"/>
        <v>0</v>
      </c>
      <c r="N687" s="36">
        <f t="shared" si="145"/>
        <v>1236</v>
      </c>
      <c r="O687" s="7">
        <f t="shared" si="158"/>
        <v>0</v>
      </c>
      <c r="P687" s="36">
        <f t="shared" si="159"/>
        <v>1236</v>
      </c>
      <c r="Q687" s="7">
        <f t="shared" si="158"/>
        <v>0</v>
      </c>
      <c r="R687" s="36">
        <f t="shared" si="160"/>
        <v>1236</v>
      </c>
    </row>
    <row r="688" spans="1:18" ht="12.75">
      <c r="A688" s="62" t="str">
        <f ca="1">IF(ISERROR(MATCH(E688,Код_КВР,0)),"",INDIRECT(ADDRESS(MATCH(E688,Код_КВР,0)+1,2,,,"КВР")))</f>
        <v>Субсидии бюджетным учреждениям</v>
      </c>
      <c r="B688" s="44" t="s">
        <v>594</v>
      </c>
      <c r="C688" s="8" t="s">
        <v>224</v>
      </c>
      <c r="D688" s="1" t="s">
        <v>196</v>
      </c>
      <c r="E688" s="115">
        <v>610</v>
      </c>
      <c r="F688" s="7">
        <f t="shared" si="158"/>
        <v>736</v>
      </c>
      <c r="G688" s="7">
        <f t="shared" si="158"/>
        <v>0</v>
      </c>
      <c r="H688" s="36">
        <f t="shared" si="150"/>
        <v>736</v>
      </c>
      <c r="I688" s="7">
        <f t="shared" si="158"/>
        <v>500</v>
      </c>
      <c r="J688" s="36">
        <f t="shared" si="147"/>
        <v>1236</v>
      </c>
      <c r="K688" s="7">
        <f t="shared" si="158"/>
        <v>0</v>
      </c>
      <c r="L688" s="36">
        <f t="shared" si="144"/>
        <v>1236</v>
      </c>
      <c r="M688" s="7">
        <f t="shared" si="158"/>
        <v>0</v>
      </c>
      <c r="N688" s="36">
        <f t="shared" si="145"/>
        <v>1236</v>
      </c>
      <c r="O688" s="7">
        <f t="shared" si="158"/>
        <v>0</v>
      </c>
      <c r="P688" s="36">
        <f t="shared" si="159"/>
        <v>1236</v>
      </c>
      <c r="Q688" s="7">
        <f t="shared" si="158"/>
        <v>0</v>
      </c>
      <c r="R688" s="36">
        <f t="shared" si="160"/>
        <v>1236</v>
      </c>
    </row>
    <row r="689" spans="1:18" ht="12.75">
      <c r="A689" s="62" t="str">
        <f ca="1">IF(ISERROR(MATCH(E689,Код_КВР,0)),"",INDIRECT(ADDRESS(MATCH(E689,Код_КВР,0)+1,2,,,"КВР")))</f>
        <v>Субсидии бюджетным учреждениям на иные цели</v>
      </c>
      <c r="B689" s="44" t="s">
        <v>594</v>
      </c>
      <c r="C689" s="8" t="s">
        <v>224</v>
      </c>
      <c r="D689" s="1" t="s">
        <v>196</v>
      </c>
      <c r="E689" s="115">
        <v>612</v>
      </c>
      <c r="F689" s="7">
        <f>'прил.5'!G243</f>
        <v>736</v>
      </c>
      <c r="G689" s="7">
        <f>'прил.5'!H243</f>
        <v>0</v>
      </c>
      <c r="H689" s="36">
        <f t="shared" si="150"/>
        <v>736</v>
      </c>
      <c r="I689" s="7">
        <f>'прил.5'!J243</f>
        <v>500</v>
      </c>
      <c r="J689" s="36">
        <f t="shared" si="147"/>
        <v>1236</v>
      </c>
      <c r="K689" s="7">
        <f>'прил.5'!L243</f>
        <v>0</v>
      </c>
      <c r="L689" s="36">
        <f t="shared" si="144"/>
        <v>1236</v>
      </c>
      <c r="M689" s="7">
        <f>'прил.5'!N243</f>
        <v>0</v>
      </c>
      <c r="N689" s="36">
        <f t="shared" si="145"/>
        <v>1236</v>
      </c>
      <c r="O689" s="7">
        <f>'прил.5'!P243</f>
        <v>0</v>
      </c>
      <c r="P689" s="36">
        <f t="shared" si="159"/>
        <v>1236</v>
      </c>
      <c r="Q689" s="7">
        <f>'прил.5'!R243</f>
        <v>0</v>
      </c>
      <c r="R689" s="36">
        <f t="shared" si="160"/>
        <v>1236</v>
      </c>
    </row>
    <row r="690" spans="1:18" ht="85.5" customHeight="1">
      <c r="A690" s="62" t="str">
        <f ca="1">IF(ISERROR(MATCH(B690,Код_КЦСР,0)),"",INDIRECT(ADDRESS(MATCH(B690,Код_КЦСР,0)+1,2,,,"КЦСР")))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90" s="44" t="s">
        <v>595</v>
      </c>
      <c r="C690" s="8"/>
      <c r="D690" s="1"/>
      <c r="E690" s="115"/>
      <c r="F690" s="7">
        <f aca="true" t="shared" si="161" ref="F690:Q693">F691</f>
        <v>45609.3</v>
      </c>
      <c r="G690" s="7">
        <f t="shared" si="161"/>
        <v>0</v>
      </c>
      <c r="H690" s="36">
        <f t="shared" si="150"/>
        <v>45609.3</v>
      </c>
      <c r="I690" s="7">
        <f t="shared" si="161"/>
        <v>1675.7</v>
      </c>
      <c r="J690" s="36">
        <f t="shared" si="147"/>
        <v>47285</v>
      </c>
      <c r="K690" s="7">
        <f t="shared" si="161"/>
        <v>-642.5</v>
      </c>
      <c r="L690" s="36">
        <f t="shared" si="144"/>
        <v>46642.5</v>
      </c>
      <c r="M690" s="7">
        <f t="shared" si="161"/>
        <v>41.6</v>
      </c>
      <c r="N690" s="36">
        <f t="shared" si="145"/>
        <v>46684.1</v>
      </c>
      <c r="O690" s="7">
        <f t="shared" si="161"/>
        <v>1200</v>
      </c>
      <c r="P690" s="36">
        <f t="shared" si="159"/>
        <v>47884.1</v>
      </c>
      <c r="Q690" s="7">
        <f t="shared" si="161"/>
        <v>0</v>
      </c>
      <c r="R690" s="36">
        <f t="shared" si="160"/>
        <v>47884.1</v>
      </c>
    </row>
    <row r="691" spans="1:18" ht="12.75">
      <c r="A691" s="62" t="str">
        <f ca="1">IF(ISERROR(MATCH(C691,Код_Раздел,0)),"",INDIRECT(ADDRESS(MATCH(C691,Код_Раздел,0)+1,2,,,"Раздел")))</f>
        <v>Национальная экономика</v>
      </c>
      <c r="B691" s="44" t="s">
        <v>595</v>
      </c>
      <c r="C691" s="8" t="s">
        <v>224</v>
      </c>
      <c r="D691" s="1"/>
      <c r="E691" s="115"/>
      <c r="F691" s="7">
        <f t="shared" si="161"/>
        <v>45609.3</v>
      </c>
      <c r="G691" s="7">
        <f t="shared" si="161"/>
        <v>0</v>
      </c>
      <c r="H691" s="36">
        <f t="shared" si="150"/>
        <v>45609.3</v>
      </c>
      <c r="I691" s="7">
        <f t="shared" si="161"/>
        <v>1675.7</v>
      </c>
      <c r="J691" s="36">
        <f t="shared" si="147"/>
        <v>47285</v>
      </c>
      <c r="K691" s="7">
        <f t="shared" si="161"/>
        <v>-642.5</v>
      </c>
      <c r="L691" s="36">
        <f t="shared" si="144"/>
        <v>46642.5</v>
      </c>
      <c r="M691" s="7">
        <f t="shared" si="161"/>
        <v>41.6</v>
      </c>
      <c r="N691" s="36">
        <f t="shared" si="145"/>
        <v>46684.1</v>
      </c>
      <c r="O691" s="7">
        <f t="shared" si="161"/>
        <v>1200</v>
      </c>
      <c r="P691" s="36">
        <f t="shared" si="159"/>
        <v>47884.1</v>
      </c>
      <c r="Q691" s="7">
        <f t="shared" si="161"/>
        <v>0</v>
      </c>
      <c r="R691" s="36">
        <f t="shared" si="160"/>
        <v>47884.1</v>
      </c>
    </row>
    <row r="692" spans="1:18" ht="12.75">
      <c r="A692" s="12" t="s">
        <v>238</v>
      </c>
      <c r="B692" s="44" t="s">
        <v>595</v>
      </c>
      <c r="C692" s="8" t="s">
        <v>224</v>
      </c>
      <c r="D692" s="1" t="s">
        <v>196</v>
      </c>
      <c r="E692" s="115"/>
      <c r="F692" s="7">
        <f t="shared" si="161"/>
        <v>45609.3</v>
      </c>
      <c r="G692" s="7">
        <f t="shared" si="161"/>
        <v>0</v>
      </c>
      <c r="H692" s="36">
        <f t="shared" si="150"/>
        <v>45609.3</v>
      </c>
      <c r="I692" s="7">
        <f t="shared" si="161"/>
        <v>1675.7</v>
      </c>
      <c r="J692" s="36">
        <f t="shared" si="147"/>
        <v>47285</v>
      </c>
      <c r="K692" s="7">
        <f t="shared" si="161"/>
        <v>-642.5</v>
      </c>
      <c r="L692" s="36">
        <f aca="true" t="shared" si="162" ref="L692:L761">J692+K692</f>
        <v>46642.5</v>
      </c>
      <c r="M692" s="7">
        <f t="shared" si="161"/>
        <v>41.6</v>
      </c>
      <c r="N692" s="36">
        <f aca="true" t="shared" si="163" ref="N692:N762">L692+M692</f>
        <v>46684.1</v>
      </c>
      <c r="O692" s="7">
        <f t="shared" si="161"/>
        <v>1200</v>
      </c>
      <c r="P692" s="36">
        <f t="shared" si="159"/>
        <v>47884.1</v>
      </c>
      <c r="Q692" s="7">
        <f t="shared" si="161"/>
        <v>0</v>
      </c>
      <c r="R692" s="36">
        <f t="shared" si="160"/>
        <v>47884.1</v>
      </c>
    </row>
    <row r="693" spans="1:18" ht="35.25" customHeight="1">
      <c r="A693" s="62" t="str">
        <f ca="1">IF(ISERROR(MATCH(E693,Код_КВР,0)),"",INDIRECT(ADDRESS(MATCH(E693,Код_КВР,0)+1,2,,,"КВР")))</f>
        <v>Предоставление субсидий бюджетным, автономным учреждениям и иным некоммерческим организациям</v>
      </c>
      <c r="B693" s="44" t="s">
        <v>595</v>
      </c>
      <c r="C693" s="8" t="s">
        <v>224</v>
      </c>
      <c r="D693" s="1" t="s">
        <v>196</v>
      </c>
      <c r="E693" s="115">
        <v>600</v>
      </c>
      <c r="F693" s="7">
        <f t="shared" si="161"/>
        <v>45609.3</v>
      </c>
      <c r="G693" s="7">
        <f t="shared" si="161"/>
        <v>0</v>
      </c>
      <c r="H693" s="36">
        <f t="shared" si="150"/>
        <v>45609.3</v>
      </c>
      <c r="I693" s="7">
        <f t="shared" si="161"/>
        <v>1675.7</v>
      </c>
      <c r="J693" s="36">
        <f t="shared" si="147"/>
        <v>47285</v>
      </c>
      <c r="K693" s="7">
        <f t="shared" si="161"/>
        <v>-642.5</v>
      </c>
      <c r="L693" s="36">
        <f t="shared" si="162"/>
        <v>46642.5</v>
      </c>
      <c r="M693" s="7">
        <f t="shared" si="161"/>
        <v>41.6</v>
      </c>
      <c r="N693" s="36">
        <f t="shared" si="163"/>
        <v>46684.1</v>
      </c>
      <c r="O693" s="7">
        <f t="shared" si="161"/>
        <v>1200</v>
      </c>
      <c r="P693" s="36">
        <f t="shared" si="159"/>
        <v>47884.1</v>
      </c>
      <c r="Q693" s="7">
        <f t="shared" si="161"/>
        <v>0</v>
      </c>
      <c r="R693" s="36">
        <f t="shared" si="160"/>
        <v>47884.1</v>
      </c>
    </row>
    <row r="694" spans="1:18" ht="12.75">
      <c r="A694" s="62" t="str">
        <f ca="1">IF(ISERROR(MATCH(E694,Код_КВР,0)),"",INDIRECT(ADDRESS(MATCH(E694,Код_КВР,0)+1,2,,,"КВР")))</f>
        <v>Субсидии бюджетным учреждениям</v>
      </c>
      <c r="B694" s="44" t="s">
        <v>595</v>
      </c>
      <c r="C694" s="8" t="s">
        <v>224</v>
      </c>
      <c r="D694" s="1" t="s">
        <v>196</v>
      </c>
      <c r="E694" s="115">
        <v>610</v>
      </c>
      <c r="F694" s="7">
        <f>SUM(F695:F696)</f>
        <v>45609.3</v>
      </c>
      <c r="G694" s="7">
        <f>SUM(G695:G696)</f>
        <v>0</v>
      </c>
      <c r="H694" s="36">
        <f t="shared" si="150"/>
        <v>45609.3</v>
      </c>
      <c r="I694" s="7">
        <f>SUM(I695:I696)</f>
        <v>1675.7</v>
      </c>
      <c r="J694" s="36">
        <f t="shared" si="147"/>
        <v>47285</v>
      </c>
      <c r="K694" s="7">
        <f>SUM(K695:K696)</f>
        <v>-642.5</v>
      </c>
      <c r="L694" s="36">
        <f t="shared" si="162"/>
        <v>46642.5</v>
      </c>
      <c r="M694" s="7">
        <f>SUM(M695:M696)</f>
        <v>41.6</v>
      </c>
      <c r="N694" s="36">
        <f t="shared" si="163"/>
        <v>46684.1</v>
      </c>
      <c r="O694" s="7">
        <f>SUM(O695:O696)</f>
        <v>1200</v>
      </c>
      <c r="P694" s="36">
        <f t="shared" si="159"/>
        <v>47884.1</v>
      </c>
      <c r="Q694" s="7">
        <f>SUM(Q695:Q696)</f>
        <v>0</v>
      </c>
      <c r="R694" s="36">
        <f t="shared" si="160"/>
        <v>47884.1</v>
      </c>
    </row>
    <row r="695" spans="1:18" ht="49.5">
      <c r="A695" s="62" t="str">
        <f ca="1">IF(ISERROR(MATCH(E695,Код_КВР,0)),"",INDIRECT(ADDRESS(MATCH(E695,Код_КВР,0)+1,2,,,"КВР")))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95" s="44" t="s">
        <v>595</v>
      </c>
      <c r="C695" s="8" t="s">
        <v>224</v>
      </c>
      <c r="D695" s="1" t="s">
        <v>196</v>
      </c>
      <c r="E695" s="115">
        <v>611</v>
      </c>
      <c r="F695" s="7">
        <f>'прил.5'!G247</f>
        <v>42162.3</v>
      </c>
      <c r="G695" s="7">
        <f>'прил.5'!H247</f>
        <v>0</v>
      </c>
      <c r="H695" s="36">
        <f t="shared" si="150"/>
        <v>42162.3</v>
      </c>
      <c r="I695" s="7">
        <f>'прил.5'!J247</f>
        <v>1545.7</v>
      </c>
      <c r="J695" s="36">
        <f t="shared" si="147"/>
        <v>43708</v>
      </c>
      <c r="K695" s="7">
        <f>'прил.5'!L247</f>
        <v>-642.5</v>
      </c>
      <c r="L695" s="36">
        <f t="shared" si="162"/>
        <v>43065.5</v>
      </c>
      <c r="M695" s="7">
        <f>'прил.5'!N247</f>
        <v>0</v>
      </c>
      <c r="N695" s="36">
        <f t="shared" si="163"/>
        <v>43065.5</v>
      </c>
      <c r="O695" s="7">
        <f>'прил.5'!P247</f>
        <v>0</v>
      </c>
      <c r="P695" s="36">
        <f t="shared" si="159"/>
        <v>43065.5</v>
      </c>
      <c r="Q695" s="7">
        <f>'прил.5'!R247</f>
        <v>0</v>
      </c>
      <c r="R695" s="36">
        <f t="shared" si="160"/>
        <v>43065.5</v>
      </c>
    </row>
    <row r="696" spans="1:18" ht="12.75">
      <c r="A696" s="62" t="str">
        <f ca="1">IF(ISERROR(MATCH(E696,Код_КВР,0)),"",INDIRECT(ADDRESS(MATCH(E696,Код_КВР,0)+1,2,,,"КВР")))</f>
        <v>Субсидии бюджетным учреждениям на иные цели</v>
      </c>
      <c r="B696" s="44" t="s">
        <v>595</v>
      </c>
      <c r="C696" s="8" t="s">
        <v>224</v>
      </c>
      <c r="D696" s="1" t="s">
        <v>196</v>
      </c>
      <c r="E696" s="115">
        <v>612</v>
      </c>
      <c r="F696" s="7">
        <f>'прил.5'!G248</f>
        <v>3447</v>
      </c>
      <c r="G696" s="7">
        <f>'прил.5'!H248</f>
        <v>0</v>
      </c>
      <c r="H696" s="36">
        <f t="shared" si="150"/>
        <v>3447</v>
      </c>
      <c r="I696" s="7">
        <f>'прил.5'!J248</f>
        <v>130</v>
      </c>
      <c r="J696" s="36">
        <f t="shared" si="147"/>
        <v>3577</v>
      </c>
      <c r="K696" s="7">
        <f>'прил.5'!L248</f>
        <v>0</v>
      </c>
      <c r="L696" s="36">
        <f t="shared" si="162"/>
        <v>3577</v>
      </c>
      <c r="M696" s="7">
        <f>'прил.5'!N248</f>
        <v>41.6</v>
      </c>
      <c r="N696" s="36">
        <f t="shared" si="163"/>
        <v>3618.6</v>
      </c>
      <c r="O696" s="7">
        <f>'прил.5'!P248</f>
        <v>1200</v>
      </c>
      <c r="P696" s="36">
        <f t="shared" si="159"/>
        <v>4818.6</v>
      </c>
      <c r="Q696" s="7">
        <f>'прил.5'!R248</f>
        <v>0</v>
      </c>
      <c r="R696" s="36">
        <f t="shared" si="160"/>
        <v>4818.6</v>
      </c>
    </row>
    <row r="697" spans="1:18" ht="35.25" customHeight="1">
      <c r="A697" s="62" t="str">
        <f ca="1">IF(ISERROR(MATCH(B697,Код_КЦСР,0)),"",INDIRECT(ADDRESS(MATCH(B697,Код_КЦСР,0)+1,2,,,"КЦСР")))</f>
        <v>Муниципальная программа «Развитие внутреннего и въездного туризма в г. Череповце» на 2014-2022 годы</v>
      </c>
      <c r="B697" s="46" t="s">
        <v>1</v>
      </c>
      <c r="C697" s="8"/>
      <c r="D697" s="1"/>
      <c r="E697" s="115"/>
      <c r="F697" s="7">
        <f>F698+F709</f>
        <v>91.4</v>
      </c>
      <c r="G697" s="7">
        <f>G698+G709</f>
        <v>0</v>
      </c>
      <c r="H697" s="36">
        <f t="shared" si="150"/>
        <v>91.4</v>
      </c>
      <c r="I697" s="7">
        <f>I698+I709</f>
        <v>0</v>
      </c>
      <c r="J697" s="36">
        <f t="shared" si="147"/>
        <v>91.4</v>
      </c>
      <c r="K697" s="7">
        <f>K698+K709</f>
        <v>0</v>
      </c>
      <c r="L697" s="36">
        <f t="shared" si="162"/>
        <v>91.4</v>
      </c>
      <c r="M697" s="7">
        <f>M698+M709</f>
        <v>0</v>
      </c>
      <c r="N697" s="36">
        <f t="shared" si="163"/>
        <v>91.4</v>
      </c>
      <c r="O697" s="7">
        <f>O698+O709</f>
        <v>0</v>
      </c>
      <c r="P697" s="36">
        <f t="shared" si="159"/>
        <v>91.4</v>
      </c>
      <c r="Q697" s="7">
        <f>Q698+Q709</f>
        <v>0</v>
      </c>
      <c r="R697" s="36">
        <f t="shared" si="160"/>
        <v>91.4</v>
      </c>
    </row>
    <row r="698" spans="1:18" ht="35.25" customHeight="1">
      <c r="A698" s="62" t="str">
        <f ca="1">IF(ISERROR(MATCH(B698,Код_КЦСР,0)),"",INDIRECT(ADDRESS(MATCH(B698,Код_КЦСР,0)+1,2,,,"КЦСР")))</f>
        <v>Продвижение городского туристского продукта на российском и международном рынках</v>
      </c>
      <c r="B698" s="46" t="s">
        <v>2</v>
      </c>
      <c r="C698" s="8"/>
      <c r="D698" s="1"/>
      <c r="E698" s="115"/>
      <c r="F698" s="7">
        <f>F699</f>
        <v>63.4</v>
      </c>
      <c r="G698" s="7">
        <f>G699</f>
        <v>0</v>
      </c>
      <c r="H698" s="36">
        <f t="shared" si="150"/>
        <v>63.4</v>
      </c>
      <c r="I698" s="7">
        <f>I699</f>
        <v>0</v>
      </c>
      <c r="J698" s="36">
        <f aca="true" t="shared" si="164" ref="J698:J787">H698+I698</f>
        <v>63.4</v>
      </c>
      <c r="K698" s="7">
        <f>K699</f>
        <v>0</v>
      </c>
      <c r="L698" s="36">
        <f t="shared" si="162"/>
        <v>63.4</v>
      </c>
      <c r="M698" s="7">
        <f>M699</f>
        <v>0</v>
      </c>
      <c r="N698" s="36">
        <f t="shared" si="163"/>
        <v>63.4</v>
      </c>
      <c r="O698" s="7">
        <f>O699</f>
        <v>0</v>
      </c>
      <c r="P698" s="36">
        <f t="shared" si="159"/>
        <v>63.4</v>
      </c>
      <c r="Q698" s="7">
        <f>Q699</f>
        <v>0</v>
      </c>
      <c r="R698" s="36">
        <f t="shared" si="160"/>
        <v>63.4</v>
      </c>
    </row>
    <row r="699" spans="1:18" ht="12.75">
      <c r="A699" s="62" t="str">
        <f ca="1">IF(ISERROR(MATCH(C699,Код_Раздел,0)),"",INDIRECT(ADDRESS(MATCH(C699,Код_Раздел,0)+1,2,,,"Раздел")))</f>
        <v>Национальная экономика</v>
      </c>
      <c r="B699" s="46" t="s">
        <v>2</v>
      </c>
      <c r="C699" s="8" t="s">
        <v>224</v>
      </c>
      <c r="D699" s="1"/>
      <c r="E699" s="115"/>
      <c r="F699" s="7">
        <f>F700</f>
        <v>63.4</v>
      </c>
      <c r="G699" s="7">
        <f>G700</f>
        <v>0</v>
      </c>
      <c r="H699" s="36">
        <f t="shared" si="150"/>
        <v>63.4</v>
      </c>
      <c r="I699" s="7">
        <f>I700</f>
        <v>0</v>
      </c>
      <c r="J699" s="36">
        <f t="shared" si="164"/>
        <v>63.4</v>
      </c>
      <c r="K699" s="7">
        <f>K700</f>
        <v>0</v>
      </c>
      <c r="L699" s="36">
        <f t="shared" si="162"/>
        <v>63.4</v>
      </c>
      <c r="M699" s="7">
        <f>M700</f>
        <v>0</v>
      </c>
      <c r="N699" s="36">
        <f t="shared" si="163"/>
        <v>63.4</v>
      </c>
      <c r="O699" s="7">
        <f>O700</f>
        <v>0</v>
      </c>
      <c r="P699" s="36">
        <f t="shared" si="159"/>
        <v>63.4</v>
      </c>
      <c r="Q699" s="7">
        <f>Q700</f>
        <v>0</v>
      </c>
      <c r="R699" s="36">
        <f t="shared" si="160"/>
        <v>63.4</v>
      </c>
    </row>
    <row r="700" spans="1:18" ht="12.75">
      <c r="A700" s="12" t="s">
        <v>245</v>
      </c>
      <c r="B700" s="46" t="s">
        <v>2</v>
      </c>
      <c r="C700" s="8" t="s">
        <v>224</v>
      </c>
      <c r="D700" s="8" t="s">
        <v>204</v>
      </c>
      <c r="E700" s="115"/>
      <c r="F700" s="7">
        <f>F701+F703+F706</f>
        <v>63.4</v>
      </c>
      <c r="G700" s="7">
        <f>G701+G703+G706</f>
        <v>0</v>
      </c>
      <c r="H700" s="36">
        <f t="shared" si="150"/>
        <v>63.4</v>
      </c>
      <c r="I700" s="7">
        <f>I701+I703+I706</f>
        <v>0</v>
      </c>
      <c r="J700" s="36">
        <f t="shared" si="164"/>
        <v>63.4</v>
      </c>
      <c r="K700" s="7">
        <f>K701+K703+K706</f>
        <v>0</v>
      </c>
      <c r="L700" s="36">
        <f t="shared" si="162"/>
        <v>63.4</v>
      </c>
      <c r="M700" s="7">
        <f>M701+M703+M706</f>
        <v>0</v>
      </c>
      <c r="N700" s="36">
        <f t="shared" si="163"/>
        <v>63.4</v>
      </c>
      <c r="O700" s="7">
        <f>O701+O703+O706</f>
        <v>0</v>
      </c>
      <c r="P700" s="36">
        <f t="shared" si="159"/>
        <v>63.4</v>
      </c>
      <c r="Q700" s="7">
        <f>Q701+Q703+Q706</f>
        <v>0</v>
      </c>
      <c r="R700" s="36">
        <f t="shared" si="160"/>
        <v>63.4</v>
      </c>
    </row>
    <row r="701" spans="1:18" ht="36.75" customHeight="1">
      <c r="A701" s="62" t="str">
        <f aca="true" t="shared" si="165" ref="A701:A708">IF(ISERROR(MATCH(E701,Код_КВР,0)),"",INDIRECT(ADDRESS(MATCH(E701,Код_КВР,0)+1,2,,,"КВР")))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01" s="46" t="s">
        <v>2</v>
      </c>
      <c r="C701" s="8" t="s">
        <v>224</v>
      </c>
      <c r="D701" s="8" t="s">
        <v>204</v>
      </c>
      <c r="E701" s="115">
        <v>100</v>
      </c>
      <c r="F701" s="7">
        <f>F702</f>
        <v>11</v>
      </c>
      <c r="G701" s="7">
        <f>G702</f>
        <v>0</v>
      </c>
      <c r="H701" s="36">
        <f t="shared" si="150"/>
        <v>11</v>
      </c>
      <c r="I701" s="7">
        <f>I702</f>
        <v>0</v>
      </c>
      <c r="J701" s="36">
        <f t="shared" si="164"/>
        <v>11</v>
      </c>
      <c r="K701" s="7">
        <f>K702</f>
        <v>0</v>
      </c>
      <c r="L701" s="36">
        <f t="shared" si="162"/>
        <v>11</v>
      </c>
      <c r="M701" s="7">
        <f>M702</f>
        <v>0</v>
      </c>
      <c r="N701" s="36">
        <f t="shared" si="163"/>
        <v>11</v>
      </c>
      <c r="O701" s="7">
        <f>O702</f>
        <v>0</v>
      </c>
      <c r="P701" s="36">
        <f t="shared" si="159"/>
        <v>11</v>
      </c>
      <c r="Q701" s="7">
        <f>Q702</f>
        <v>0</v>
      </c>
      <c r="R701" s="36">
        <f t="shared" si="160"/>
        <v>11</v>
      </c>
    </row>
    <row r="702" spans="1:18" ht="12.75">
      <c r="A702" s="62" t="str">
        <f ca="1" t="shared" si="165"/>
        <v>Расходы на выплаты персоналу муниципальных органов</v>
      </c>
      <c r="B702" s="46" t="s">
        <v>2</v>
      </c>
      <c r="C702" s="8" t="s">
        <v>224</v>
      </c>
      <c r="D702" s="8" t="s">
        <v>204</v>
      </c>
      <c r="E702" s="115">
        <v>120</v>
      </c>
      <c r="F702" s="7">
        <f>'прил.5'!G898</f>
        <v>11</v>
      </c>
      <c r="G702" s="7">
        <f>'прил.5'!H898</f>
        <v>0</v>
      </c>
      <c r="H702" s="36">
        <f t="shared" si="150"/>
        <v>11</v>
      </c>
      <c r="I702" s="7">
        <f>'прил.5'!J898</f>
        <v>0</v>
      </c>
      <c r="J702" s="36">
        <f t="shared" si="164"/>
        <v>11</v>
      </c>
      <c r="K702" s="7">
        <f>'прил.5'!L898</f>
        <v>0</v>
      </c>
      <c r="L702" s="36">
        <f t="shared" si="162"/>
        <v>11</v>
      </c>
      <c r="M702" s="7">
        <f>'прил.5'!N898</f>
        <v>0</v>
      </c>
      <c r="N702" s="36">
        <f t="shared" si="163"/>
        <v>11</v>
      </c>
      <c r="O702" s="7">
        <f>'прил.5'!P898</f>
        <v>0</v>
      </c>
      <c r="P702" s="36">
        <f t="shared" si="159"/>
        <v>11</v>
      </c>
      <c r="Q702" s="7">
        <f>'прил.5'!R898</f>
        <v>0</v>
      </c>
      <c r="R702" s="36">
        <f t="shared" si="160"/>
        <v>11</v>
      </c>
    </row>
    <row r="703" spans="1:18" ht="12.75">
      <c r="A703" s="62" t="str">
        <f ca="1" t="shared" si="165"/>
        <v>Закупка товаров, работ и услуг для муниципальных нужд</v>
      </c>
      <c r="B703" s="46" t="s">
        <v>2</v>
      </c>
      <c r="C703" s="8" t="s">
        <v>224</v>
      </c>
      <c r="D703" s="8" t="s">
        <v>204</v>
      </c>
      <c r="E703" s="115">
        <v>200</v>
      </c>
      <c r="F703" s="7">
        <f>F704</f>
        <v>22</v>
      </c>
      <c r="G703" s="7">
        <f>G704</f>
        <v>0</v>
      </c>
      <c r="H703" s="36">
        <f t="shared" si="150"/>
        <v>22</v>
      </c>
      <c r="I703" s="7">
        <f>I704</f>
        <v>0</v>
      </c>
      <c r="J703" s="36">
        <f t="shared" si="164"/>
        <v>22</v>
      </c>
      <c r="K703" s="7">
        <f>K704</f>
        <v>0</v>
      </c>
      <c r="L703" s="36">
        <f t="shared" si="162"/>
        <v>22</v>
      </c>
      <c r="M703" s="7">
        <f>M704</f>
        <v>0</v>
      </c>
      <c r="N703" s="36">
        <f t="shared" si="163"/>
        <v>22</v>
      </c>
      <c r="O703" s="7">
        <f>O704</f>
        <v>0</v>
      </c>
      <c r="P703" s="36">
        <f t="shared" si="159"/>
        <v>22</v>
      </c>
      <c r="Q703" s="7">
        <f>Q704</f>
        <v>0</v>
      </c>
      <c r="R703" s="36">
        <f t="shared" si="160"/>
        <v>22</v>
      </c>
    </row>
    <row r="704" spans="1:18" ht="36" customHeight="1">
      <c r="A704" s="62" t="str">
        <f ca="1" t="shared" si="165"/>
        <v>Иные закупки товаров, работ и услуг для обеспечения муниципальных нужд</v>
      </c>
      <c r="B704" s="46" t="s">
        <v>2</v>
      </c>
      <c r="C704" s="8" t="s">
        <v>224</v>
      </c>
      <c r="D704" s="8" t="s">
        <v>204</v>
      </c>
      <c r="E704" s="115">
        <v>240</v>
      </c>
      <c r="F704" s="7">
        <f>F705</f>
        <v>22</v>
      </c>
      <c r="G704" s="7">
        <f>G705</f>
        <v>0</v>
      </c>
      <c r="H704" s="36">
        <f t="shared" si="150"/>
        <v>22</v>
      </c>
      <c r="I704" s="7">
        <f>I705</f>
        <v>0</v>
      </c>
      <c r="J704" s="36">
        <f t="shared" si="164"/>
        <v>22</v>
      </c>
      <c r="K704" s="7">
        <f>K705</f>
        <v>0</v>
      </c>
      <c r="L704" s="36">
        <f t="shared" si="162"/>
        <v>22</v>
      </c>
      <c r="M704" s="7">
        <f>M705</f>
        <v>0</v>
      </c>
      <c r="N704" s="36">
        <f t="shared" si="163"/>
        <v>22</v>
      </c>
      <c r="O704" s="7">
        <f>O705</f>
        <v>0</v>
      </c>
      <c r="P704" s="36">
        <f t="shared" si="159"/>
        <v>22</v>
      </c>
      <c r="Q704" s="7">
        <f>Q705</f>
        <v>0</v>
      </c>
      <c r="R704" s="36">
        <f t="shared" si="160"/>
        <v>22</v>
      </c>
    </row>
    <row r="705" spans="1:18" ht="33.75" customHeight="1">
      <c r="A705" s="62" t="str">
        <f ca="1" t="shared" si="165"/>
        <v xml:space="preserve">Прочая закупка товаров, работ и услуг для обеспечения муниципальных нужд         </v>
      </c>
      <c r="B705" s="46" t="s">
        <v>2</v>
      </c>
      <c r="C705" s="8" t="s">
        <v>224</v>
      </c>
      <c r="D705" s="8" t="s">
        <v>204</v>
      </c>
      <c r="E705" s="115">
        <v>244</v>
      </c>
      <c r="F705" s="7">
        <f>'прил.5'!G295+'прил.5'!G459+'прил.5'!G1446</f>
        <v>22</v>
      </c>
      <c r="G705" s="7">
        <f>'прил.5'!H295+'прил.5'!H459+'прил.5'!H1446</f>
        <v>0</v>
      </c>
      <c r="H705" s="36">
        <f t="shared" si="150"/>
        <v>22</v>
      </c>
      <c r="I705" s="7">
        <f>'прил.5'!J295+'прил.5'!J459+'прил.5'!J1446</f>
        <v>0</v>
      </c>
      <c r="J705" s="36">
        <f t="shared" si="164"/>
        <v>22</v>
      </c>
      <c r="K705" s="7">
        <f>'прил.5'!L295+'прил.5'!L459+'прил.5'!L1446</f>
        <v>0</v>
      </c>
      <c r="L705" s="36">
        <f t="shared" si="162"/>
        <v>22</v>
      </c>
      <c r="M705" s="7">
        <f>'прил.5'!N295+'прил.5'!N459+'прил.5'!N1446</f>
        <v>0</v>
      </c>
      <c r="N705" s="36">
        <f t="shared" si="163"/>
        <v>22</v>
      </c>
      <c r="O705" s="7">
        <f>'прил.5'!P295+'прил.5'!P459+'прил.5'!P1446</f>
        <v>0</v>
      </c>
      <c r="P705" s="36">
        <f t="shared" si="159"/>
        <v>22</v>
      </c>
      <c r="Q705" s="7">
        <f>'прил.5'!R295+'прил.5'!R459+'прил.5'!R1446</f>
        <v>0</v>
      </c>
      <c r="R705" s="36">
        <f t="shared" si="160"/>
        <v>22</v>
      </c>
    </row>
    <row r="706" spans="1:18" ht="36" customHeight="1">
      <c r="A706" s="62" t="str">
        <f ca="1" t="shared" si="165"/>
        <v>Предоставление субсидий бюджетным, автономным учреждениям и иным некоммерческим организациям</v>
      </c>
      <c r="B706" s="46" t="s">
        <v>2</v>
      </c>
      <c r="C706" s="8" t="s">
        <v>224</v>
      </c>
      <c r="D706" s="8" t="s">
        <v>204</v>
      </c>
      <c r="E706" s="115">
        <v>600</v>
      </c>
      <c r="F706" s="7">
        <f>F707</f>
        <v>30.4</v>
      </c>
      <c r="G706" s="7">
        <f>G707</f>
        <v>0</v>
      </c>
      <c r="H706" s="36">
        <f aca="true" t="shared" si="166" ref="H706:H795">F706+G706</f>
        <v>30.4</v>
      </c>
      <c r="I706" s="7">
        <f>I707</f>
        <v>0</v>
      </c>
      <c r="J706" s="36">
        <f t="shared" si="164"/>
        <v>30.4</v>
      </c>
      <c r="K706" s="7">
        <f>K707</f>
        <v>0</v>
      </c>
      <c r="L706" s="36">
        <f t="shared" si="162"/>
        <v>30.4</v>
      </c>
      <c r="M706" s="7">
        <f>M707</f>
        <v>0</v>
      </c>
      <c r="N706" s="36">
        <f t="shared" si="163"/>
        <v>30.4</v>
      </c>
      <c r="O706" s="7">
        <f>O707</f>
        <v>0</v>
      </c>
      <c r="P706" s="36">
        <f t="shared" si="159"/>
        <v>30.4</v>
      </c>
      <c r="Q706" s="7">
        <f>Q707</f>
        <v>0</v>
      </c>
      <c r="R706" s="36">
        <f t="shared" si="160"/>
        <v>30.4</v>
      </c>
    </row>
    <row r="707" spans="1:18" ht="12.75">
      <c r="A707" s="62" t="str">
        <f ca="1" t="shared" si="165"/>
        <v>Субсидии бюджетным учреждениям</v>
      </c>
      <c r="B707" s="46" t="s">
        <v>2</v>
      </c>
      <c r="C707" s="8" t="s">
        <v>224</v>
      </c>
      <c r="D707" s="8" t="s">
        <v>204</v>
      </c>
      <c r="E707" s="115">
        <v>610</v>
      </c>
      <c r="F707" s="7">
        <f>F708</f>
        <v>30.4</v>
      </c>
      <c r="G707" s="7">
        <f>G708</f>
        <v>0</v>
      </c>
      <c r="H707" s="36">
        <f t="shared" si="166"/>
        <v>30.4</v>
      </c>
      <c r="I707" s="7">
        <f>I708</f>
        <v>0</v>
      </c>
      <c r="J707" s="36">
        <f t="shared" si="164"/>
        <v>30.4</v>
      </c>
      <c r="K707" s="7">
        <f>K708</f>
        <v>0</v>
      </c>
      <c r="L707" s="36">
        <f t="shared" si="162"/>
        <v>30.4</v>
      </c>
      <c r="M707" s="7">
        <f>M708</f>
        <v>0</v>
      </c>
      <c r="N707" s="36">
        <f t="shared" si="163"/>
        <v>30.4</v>
      </c>
      <c r="O707" s="7">
        <f>O708</f>
        <v>0</v>
      </c>
      <c r="P707" s="36">
        <f t="shared" si="159"/>
        <v>30.4</v>
      </c>
      <c r="Q707" s="7">
        <f>Q708</f>
        <v>0</v>
      </c>
      <c r="R707" s="36">
        <f t="shared" si="160"/>
        <v>30.4</v>
      </c>
    </row>
    <row r="708" spans="1:18" ht="12.75">
      <c r="A708" s="62" t="str">
        <f ca="1" t="shared" si="165"/>
        <v>Субсидии бюджетным учреждениям на иные цели</v>
      </c>
      <c r="B708" s="46" t="s">
        <v>2</v>
      </c>
      <c r="C708" s="8" t="s">
        <v>224</v>
      </c>
      <c r="D708" s="8" t="s">
        <v>204</v>
      </c>
      <c r="E708" s="115">
        <v>612</v>
      </c>
      <c r="F708" s="7">
        <f>'прил.5'!G901</f>
        <v>30.4</v>
      </c>
      <c r="G708" s="7">
        <f>'прил.5'!H901</f>
        <v>0</v>
      </c>
      <c r="H708" s="36">
        <f t="shared" si="166"/>
        <v>30.4</v>
      </c>
      <c r="I708" s="7">
        <f>'прил.5'!J901</f>
        <v>0</v>
      </c>
      <c r="J708" s="36">
        <f t="shared" si="164"/>
        <v>30.4</v>
      </c>
      <c r="K708" s="7">
        <f>'прил.5'!L901</f>
        <v>0</v>
      </c>
      <c r="L708" s="36">
        <f t="shared" si="162"/>
        <v>30.4</v>
      </c>
      <c r="M708" s="7">
        <f>'прил.5'!N901</f>
        <v>0</v>
      </c>
      <c r="N708" s="36">
        <f t="shared" si="163"/>
        <v>30.4</v>
      </c>
      <c r="O708" s="7">
        <f>'прил.5'!P901</f>
        <v>0</v>
      </c>
      <c r="P708" s="36">
        <f t="shared" si="159"/>
        <v>30.4</v>
      </c>
      <c r="Q708" s="7">
        <f>'прил.5'!R901</f>
        <v>0</v>
      </c>
      <c r="R708" s="36">
        <f t="shared" si="160"/>
        <v>30.4</v>
      </c>
    </row>
    <row r="709" spans="1:18" ht="12.75">
      <c r="A709" s="62" t="str">
        <f ca="1">IF(ISERROR(MATCH(B709,Код_КЦСР,0)),"",INDIRECT(ADDRESS(MATCH(B709,Код_КЦСР,0)+1,2,,,"КЦСР")))</f>
        <v>Развитие туристской, инженерной и транспортной инфраструктур</v>
      </c>
      <c r="B709" s="46" t="s">
        <v>4</v>
      </c>
      <c r="C709" s="8"/>
      <c r="D709" s="1"/>
      <c r="E709" s="115"/>
      <c r="F709" s="7">
        <f aca="true" t="shared" si="167" ref="F709:Q713">F710</f>
        <v>28</v>
      </c>
      <c r="G709" s="7">
        <f t="shared" si="167"/>
        <v>0</v>
      </c>
      <c r="H709" s="36">
        <f t="shared" si="166"/>
        <v>28</v>
      </c>
      <c r="I709" s="7">
        <f t="shared" si="167"/>
        <v>0</v>
      </c>
      <c r="J709" s="36">
        <f t="shared" si="164"/>
        <v>28</v>
      </c>
      <c r="K709" s="7">
        <f t="shared" si="167"/>
        <v>0</v>
      </c>
      <c r="L709" s="36">
        <f t="shared" si="162"/>
        <v>28</v>
      </c>
      <c r="M709" s="7">
        <f t="shared" si="167"/>
        <v>0</v>
      </c>
      <c r="N709" s="36">
        <f t="shared" si="163"/>
        <v>28</v>
      </c>
      <c r="O709" s="7">
        <f t="shared" si="167"/>
        <v>0</v>
      </c>
      <c r="P709" s="36">
        <f t="shared" si="159"/>
        <v>28</v>
      </c>
      <c r="Q709" s="7">
        <f t="shared" si="167"/>
        <v>0</v>
      </c>
      <c r="R709" s="36">
        <f t="shared" si="160"/>
        <v>28</v>
      </c>
    </row>
    <row r="710" spans="1:18" ht="12.75">
      <c r="A710" s="62" t="str">
        <f ca="1">IF(ISERROR(MATCH(C710,Код_Раздел,0)),"",INDIRECT(ADDRESS(MATCH(C710,Код_Раздел,0)+1,2,,,"Раздел")))</f>
        <v>Национальная экономика</v>
      </c>
      <c r="B710" s="46" t="s">
        <v>4</v>
      </c>
      <c r="C710" s="8" t="s">
        <v>224</v>
      </c>
      <c r="D710" s="1"/>
      <c r="E710" s="115"/>
      <c r="F710" s="7">
        <f t="shared" si="167"/>
        <v>28</v>
      </c>
      <c r="G710" s="7">
        <f t="shared" si="167"/>
        <v>0</v>
      </c>
      <c r="H710" s="36">
        <f t="shared" si="166"/>
        <v>28</v>
      </c>
      <c r="I710" s="7">
        <f t="shared" si="167"/>
        <v>0</v>
      </c>
      <c r="J710" s="36">
        <f t="shared" si="164"/>
        <v>28</v>
      </c>
      <c r="K710" s="7">
        <f t="shared" si="167"/>
        <v>0</v>
      </c>
      <c r="L710" s="36">
        <f t="shared" si="162"/>
        <v>28</v>
      </c>
      <c r="M710" s="7">
        <f t="shared" si="167"/>
        <v>0</v>
      </c>
      <c r="N710" s="36">
        <f t="shared" si="163"/>
        <v>28</v>
      </c>
      <c r="O710" s="7">
        <f t="shared" si="167"/>
        <v>0</v>
      </c>
      <c r="P710" s="36">
        <f t="shared" si="159"/>
        <v>28</v>
      </c>
      <c r="Q710" s="7">
        <f t="shared" si="167"/>
        <v>0</v>
      </c>
      <c r="R710" s="36">
        <f t="shared" si="160"/>
        <v>28</v>
      </c>
    </row>
    <row r="711" spans="1:18" ht="12.75">
      <c r="A711" s="12" t="s">
        <v>245</v>
      </c>
      <c r="B711" s="46" t="s">
        <v>4</v>
      </c>
      <c r="C711" s="8" t="s">
        <v>224</v>
      </c>
      <c r="D711" s="8" t="s">
        <v>204</v>
      </c>
      <c r="E711" s="115"/>
      <c r="F711" s="7">
        <f t="shared" si="167"/>
        <v>28</v>
      </c>
      <c r="G711" s="7">
        <f t="shared" si="167"/>
        <v>0</v>
      </c>
      <c r="H711" s="36">
        <f t="shared" si="166"/>
        <v>28</v>
      </c>
      <c r="I711" s="7">
        <f t="shared" si="167"/>
        <v>0</v>
      </c>
      <c r="J711" s="36">
        <f t="shared" si="164"/>
        <v>28</v>
      </c>
      <c r="K711" s="7">
        <f t="shared" si="167"/>
        <v>0</v>
      </c>
      <c r="L711" s="36">
        <f t="shared" si="162"/>
        <v>28</v>
      </c>
      <c r="M711" s="7">
        <f t="shared" si="167"/>
        <v>0</v>
      </c>
      <c r="N711" s="36">
        <f t="shared" si="163"/>
        <v>28</v>
      </c>
      <c r="O711" s="7">
        <f t="shared" si="167"/>
        <v>0</v>
      </c>
      <c r="P711" s="36">
        <f t="shared" si="159"/>
        <v>28</v>
      </c>
      <c r="Q711" s="7">
        <f t="shared" si="167"/>
        <v>0</v>
      </c>
      <c r="R711" s="36">
        <f t="shared" si="160"/>
        <v>28</v>
      </c>
    </row>
    <row r="712" spans="1:18" ht="12.75">
      <c r="A712" s="62" t="str">
        <f ca="1">IF(ISERROR(MATCH(E712,Код_КВР,0)),"",INDIRECT(ADDRESS(MATCH(E712,Код_КВР,0)+1,2,,,"КВР")))</f>
        <v>Закупка товаров, работ и услуг для муниципальных нужд</v>
      </c>
      <c r="B712" s="46" t="s">
        <v>4</v>
      </c>
      <c r="C712" s="8" t="s">
        <v>224</v>
      </c>
      <c r="D712" s="8" t="s">
        <v>204</v>
      </c>
      <c r="E712" s="115">
        <v>200</v>
      </c>
      <c r="F712" s="7">
        <f t="shared" si="167"/>
        <v>28</v>
      </c>
      <c r="G712" s="7">
        <f t="shared" si="167"/>
        <v>0</v>
      </c>
      <c r="H712" s="36">
        <f t="shared" si="166"/>
        <v>28</v>
      </c>
      <c r="I712" s="7">
        <f t="shared" si="167"/>
        <v>0</v>
      </c>
      <c r="J712" s="36">
        <f t="shared" si="164"/>
        <v>28</v>
      </c>
      <c r="K712" s="7">
        <f t="shared" si="167"/>
        <v>0</v>
      </c>
      <c r="L712" s="36">
        <f t="shared" si="162"/>
        <v>28</v>
      </c>
      <c r="M712" s="7">
        <f t="shared" si="167"/>
        <v>0</v>
      </c>
      <c r="N712" s="36">
        <f t="shared" si="163"/>
        <v>28</v>
      </c>
      <c r="O712" s="7">
        <f t="shared" si="167"/>
        <v>0</v>
      </c>
      <c r="P712" s="36">
        <f t="shared" si="159"/>
        <v>28</v>
      </c>
      <c r="Q712" s="7">
        <f t="shared" si="167"/>
        <v>0</v>
      </c>
      <c r="R712" s="36">
        <f t="shared" si="160"/>
        <v>28</v>
      </c>
    </row>
    <row r="713" spans="1:18" ht="33">
      <c r="A713" s="62" t="str">
        <f ca="1">IF(ISERROR(MATCH(E713,Код_КВР,0)),"",INDIRECT(ADDRESS(MATCH(E713,Код_КВР,0)+1,2,,,"КВР")))</f>
        <v>Иные закупки товаров, работ и услуг для обеспечения муниципальных нужд</v>
      </c>
      <c r="B713" s="46" t="s">
        <v>4</v>
      </c>
      <c r="C713" s="8" t="s">
        <v>224</v>
      </c>
      <c r="D713" s="8" t="s">
        <v>204</v>
      </c>
      <c r="E713" s="115">
        <v>240</v>
      </c>
      <c r="F713" s="7">
        <f t="shared" si="167"/>
        <v>28</v>
      </c>
      <c r="G713" s="7">
        <f t="shared" si="167"/>
        <v>0</v>
      </c>
      <c r="H713" s="36">
        <f t="shared" si="166"/>
        <v>28</v>
      </c>
      <c r="I713" s="7">
        <f t="shared" si="167"/>
        <v>0</v>
      </c>
      <c r="J713" s="36">
        <f t="shared" si="164"/>
        <v>28</v>
      </c>
      <c r="K713" s="7">
        <f t="shared" si="167"/>
        <v>0</v>
      </c>
      <c r="L713" s="36">
        <f t="shared" si="162"/>
        <v>28</v>
      </c>
      <c r="M713" s="7">
        <f t="shared" si="167"/>
        <v>0</v>
      </c>
      <c r="N713" s="36">
        <f t="shared" si="163"/>
        <v>28</v>
      </c>
      <c r="O713" s="7">
        <f t="shared" si="167"/>
        <v>0</v>
      </c>
      <c r="P713" s="36">
        <f t="shared" si="159"/>
        <v>28</v>
      </c>
      <c r="Q713" s="7">
        <f t="shared" si="167"/>
        <v>0</v>
      </c>
      <c r="R713" s="36">
        <f t="shared" si="160"/>
        <v>28</v>
      </c>
    </row>
    <row r="714" spans="1:18" ht="33">
      <c r="A714" s="62" t="str">
        <f ca="1">IF(ISERROR(MATCH(E714,Код_КВР,0)),"",INDIRECT(ADDRESS(MATCH(E714,Код_КВР,0)+1,2,,,"КВР")))</f>
        <v xml:space="preserve">Прочая закупка товаров, работ и услуг для обеспечения муниципальных нужд         </v>
      </c>
      <c r="B714" s="46" t="s">
        <v>4</v>
      </c>
      <c r="C714" s="8" t="s">
        <v>224</v>
      </c>
      <c r="D714" s="8" t="s">
        <v>204</v>
      </c>
      <c r="E714" s="115">
        <v>244</v>
      </c>
      <c r="F714" s="7">
        <f>'прил.5'!G463</f>
        <v>28</v>
      </c>
      <c r="G714" s="7">
        <f>'прил.5'!H463</f>
        <v>0</v>
      </c>
      <c r="H714" s="36">
        <f t="shared" si="166"/>
        <v>28</v>
      </c>
      <c r="I714" s="7">
        <f>'прил.5'!J463</f>
        <v>0</v>
      </c>
      <c r="J714" s="36">
        <f t="shared" si="164"/>
        <v>28</v>
      </c>
      <c r="K714" s="7">
        <f>'прил.5'!L463</f>
        <v>0</v>
      </c>
      <c r="L714" s="36">
        <f t="shared" si="162"/>
        <v>28</v>
      </c>
      <c r="M714" s="7">
        <f>'прил.5'!N463</f>
        <v>0</v>
      </c>
      <c r="N714" s="36">
        <f t="shared" si="163"/>
        <v>28</v>
      </c>
      <c r="O714" s="7">
        <f>'прил.5'!P463</f>
        <v>0</v>
      </c>
      <c r="P714" s="36">
        <f t="shared" si="159"/>
        <v>28</v>
      </c>
      <c r="Q714" s="7">
        <f>'прил.5'!R463</f>
        <v>0</v>
      </c>
      <c r="R714" s="36">
        <f t="shared" si="160"/>
        <v>28</v>
      </c>
    </row>
    <row r="715" spans="1:18" ht="33">
      <c r="A715" s="62" t="str">
        <f ca="1">IF(ISERROR(MATCH(B715,Код_КЦСР,0)),"",INDIRECT(ADDRESS(MATCH(B715,Код_КЦСР,0)+1,2,,,"КЦСР")))</f>
        <v>Муниципальная программа «Социальная поддержка граждан» на 2014-2018 годы</v>
      </c>
      <c r="B715" s="46" t="s">
        <v>6</v>
      </c>
      <c r="C715" s="8"/>
      <c r="D715" s="1"/>
      <c r="E715" s="115"/>
      <c r="F715" s="7">
        <f>F716+F722+F734+F741+F748+F755+F782+F789+F795+F814+F820+F826+F835+F866</f>
        <v>859558.5999999999</v>
      </c>
      <c r="G715" s="7">
        <f>G716+G722+G734+G741+G748+G755+G782+G789+G795+G814+G820+G826+G835+G866</f>
        <v>0</v>
      </c>
      <c r="H715" s="36">
        <f t="shared" si="166"/>
        <v>859558.5999999999</v>
      </c>
      <c r="I715" s="7">
        <f>I716+I722+I734+I741+I748+I755+I782+I789+I795+I814+I820+I826+I835+I866</f>
        <v>0</v>
      </c>
      <c r="J715" s="36">
        <f t="shared" si="164"/>
        <v>859558.5999999999</v>
      </c>
      <c r="K715" s="7">
        <f>K716+K722+K734+K741+K748+K755+K782+K789+K795+K814+K820+K826+K835+K866</f>
        <v>-3790.2</v>
      </c>
      <c r="L715" s="36">
        <f t="shared" si="162"/>
        <v>855768.3999999999</v>
      </c>
      <c r="M715" s="7">
        <f>M716+M722+M734+M741+M748+M755+M782+M789+M795+M814+M820+M826+M835+M866+M762</f>
        <v>432</v>
      </c>
      <c r="N715" s="36">
        <f t="shared" si="163"/>
        <v>856200.3999999999</v>
      </c>
      <c r="O715" s="7">
        <f>O716+O722+O734+O741+O748+O755+O782+O789+O795+O814+O820+O826+O835+O866+O762</f>
        <v>0</v>
      </c>
      <c r="P715" s="36">
        <f t="shared" si="159"/>
        <v>856200.3999999999</v>
      </c>
      <c r="Q715" s="7">
        <f>Q716+Q722+Q734+Q741+Q748+Q755+Q782+Q789+Q795+Q814+Q820+Q826+Q835+Q866+Q762+Q803+Q728+Q769</f>
        <v>51622.1</v>
      </c>
      <c r="R715" s="36">
        <f t="shared" si="160"/>
        <v>907822.4999999999</v>
      </c>
    </row>
    <row r="716" spans="1:18" ht="56.25" customHeight="1">
      <c r="A716" s="62" t="str">
        <f ca="1">IF(ISERROR(MATCH(B716,Код_КЦСР,0)),"",INDIRECT(ADDRESS(MATCH(B716,Код_КЦСР,0)+1,2,,,"КЦСР")))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716" s="46" t="s">
        <v>7</v>
      </c>
      <c r="C716" s="8"/>
      <c r="D716" s="1"/>
      <c r="E716" s="115"/>
      <c r="F716" s="7">
        <f aca="true" t="shared" si="168" ref="F716:Q720">F717</f>
        <v>962.5</v>
      </c>
      <c r="G716" s="7">
        <f t="shared" si="168"/>
        <v>0</v>
      </c>
      <c r="H716" s="36">
        <f t="shared" si="166"/>
        <v>962.5</v>
      </c>
      <c r="I716" s="7">
        <f t="shared" si="168"/>
        <v>0</v>
      </c>
      <c r="J716" s="36">
        <f t="shared" si="164"/>
        <v>962.5</v>
      </c>
      <c r="K716" s="7">
        <f t="shared" si="168"/>
        <v>0</v>
      </c>
      <c r="L716" s="36">
        <f t="shared" si="162"/>
        <v>962.5</v>
      </c>
      <c r="M716" s="7">
        <f t="shared" si="168"/>
        <v>0</v>
      </c>
      <c r="N716" s="36">
        <f t="shared" si="163"/>
        <v>962.5</v>
      </c>
      <c r="O716" s="7">
        <f t="shared" si="168"/>
        <v>0</v>
      </c>
      <c r="P716" s="36">
        <f t="shared" si="159"/>
        <v>962.5</v>
      </c>
      <c r="Q716" s="7">
        <f t="shared" si="168"/>
        <v>0</v>
      </c>
      <c r="R716" s="36">
        <f t="shared" si="160"/>
        <v>962.5</v>
      </c>
    </row>
    <row r="717" spans="1:18" ht="12.75">
      <c r="A717" s="62" t="str">
        <f ca="1">IF(ISERROR(MATCH(C717,Код_Раздел,0)),"",INDIRECT(ADDRESS(MATCH(C717,Код_Раздел,0)+1,2,,,"Раздел")))</f>
        <v>Образование</v>
      </c>
      <c r="B717" s="46" t="s">
        <v>7</v>
      </c>
      <c r="C717" s="8" t="s">
        <v>203</v>
      </c>
      <c r="D717" s="1"/>
      <c r="E717" s="115"/>
      <c r="F717" s="7">
        <f t="shared" si="168"/>
        <v>962.5</v>
      </c>
      <c r="G717" s="7">
        <f t="shared" si="168"/>
        <v>0</v>
      </c>
      <c r="H717" s="36">
        <f t="shared" si="166"/>
        <v>962.5</v>
      </c>
      <c r="I717" s="7">
        <f t="shared" si="168"/>
        <v>0</v>
      </c>
      <c r="J717" s="36">
        <f t="shared" si="164"/>
        <v>962.5</v>
      </c>
      <c r="K717" s="7">
        <f t="shared" si="168"/>
        <v>0</v>
      </c>
      <c r="L717" s="36">
        <f t="shared" si="162"/>
        <v>962.5</v>
      </c>
      <c r="M717" s="7">
        <f t="shared" si="168"/>
        <v>0</v>
      </c>
      <c r="N717" s="36">
        <f t="shared" si="163"/>
        <v>962.5</v>
      </c>
      <c r="O717" s="7">
        <f t="shared" si="168"/>
        <v>0</v>
      </c>
      <c r="P717" s="36">
        <f t="shared" si="159"/>
        <v>962.5</v>
      </c>
      <c r="Q717" s="7">
        <f t="shared" si="168"/>
        <v>0</v>
      </c>
      <c r="R717" s="36">
        <f t="shared" si="160"/>
        <v>962.5</v>
      </c>
    </row>
    <row r="718" spans="1:18" ht="12.75">
      <c r="A718" s="12" t="s">
        <v>207</v>
      </c>
      <c r="B718" s="46" t="s">
        <v>7</v>
      </c>
      <c r="C718" s="8" t="s">
        <v>203</v>
      </c>
      <c r="D718" s="8" t="s">
        <v>203</v>
      </c>
      <c r="E718" s="115"/>
      <c r="F718" s="7">
        <f t="shared" si="168"/>
        <v>962.5</v>
      </c>
      <c r="G718" s="7">
        <f t="shared" si="168"/>
        <v>0</v>
      </c>
      <c r="H718" s="36">
        <f t="shared" si="166"/>
        <v>962.5</v>
      </c>
      <c r="I718" s="7">
        <f t="shared" si="168"/>
        <v>0</v>
      </c>
      <c r="J718" s="36">
        <f t="shared" si="164"/>
        <v>962.5</v>
      </c>
      <c r="K718" s="7">
        <f t="shared" si="168"/>
        <v>0</v>
      </c>
      <c r="L718" s="36">
        <f t="shared" si="162"/>
        <v>962.5</v>
      </c>
      <c r="M718" s="7">
        <f t="shared" si="168"/>
        <v>0</v>
      </c>
      <c r="N718" s="36">
        <f t="shared" si="163"/>
        <v>962.5</v>
      </c>
      <c r="O718" s="7">
        <f t="shared" si="168"/>
        <v>0</v>
      </c>
      <c r="P718" s="36">
        <f t="shared" si="159"/>
        <v>962.5</v>
      </c>
      <c r="Q718" s="7">
        <f t="shared" si="168"/>
        <v>0</v>
      </c>
      <c r="R718" s="36">
        <f t="shared" si="160"/>
        <v>962.5</v>
      </c>
    </row>
    <row r="719" spans="1:18" ht="12.75">
      <c r="A719" s="62" t="str">
        <f ca="1">IF(ISERROR(MATCH(E719,Код_КВР,0)),"",INDIRECT(ADDRESS(MATCH(E719,Код_КВР,0)+1,2,,,"КВР")))</f>
        <v>Социальное обеспечение и иные выплаты населению</v>
      </c>
      <c r="B719" s="46" t="s">
        <v>7</v>
      </c>
      <c r="C719" s="8" t="s">
        <v>203</v>
      </c>
      <c r="D719" s="8" t="s">
        <v>203</v>
      </c>
      <c r="E719" s="115">
        <v>300</v>
      </c>
      <c r="F719" s="7">
        <f t="shared" si="168"/>
        <v>962.5</v>
      </c>
      <c r="G719" s="7">
        <f t="shared" si="168"/>
        <v>0</v>
      </c>
      <c r="H719" s="36">
        <f t="shared" si="166"/>
        <v>962.5</v>
      </c>
      <c r="I719" s="7">
        <f t="shared" si="168"/>
        <v>0</v>
      </c>
      <c r="J719" s="36">
        <f t="shared" si="164"/>
        <v>962.5</v>
      </c>
      <c r="K719" s="7">
        <f t="shared" si="168"/>
        <v>0</v>
      </c>
      <c r="L719" s="36">
        <f t="shared" si="162"/>
        <v>962.5</v>
      </c>
      <c r="M719" s="7">
        <f t="shared" si="168"/>
        <v>0</v>
      </c>
      <c r="N719" s="36">
        <f t="shared" si="163"/>
        <v>962.5</v>
      </c>
      <c r="O719" s="7">
        <f t="shared" si="168"/>
        <v>0</v>
      </c>
      <c r="P719" s="36">
        <f t="shared" si="159"/>
        <v>962.5</v>
      </c>
      <c r="Q719" s="7">
        <f t="shared" si="168"/>
        <v>0</v>
      </c>
      <c r="R719" s="36">
        <f t="shared" si="160"/>
        <v>962.5</v>
      </c>
    </row>
    <row r="720" spans="1:18" ht="36" customHeight="1">
      <c r="A720" s="62" t="str">
        <f ca="1">IF(ISERROR(MATCH(E720,Код_КВР,0)),"",INDIRECT(ADDRESS(MATCH(E720,Код_КВР,0)+1,2,,,"КВР")))</f>
        <v>Социальные выплаты гражданам, кроме публичных нормативных социальных выплат</v>
      </c>
      <c r="B720" s="46" t="s">
        <v>7</v>
      </c>
      <c r="C720" s="8" t="s">
        <v>203</v>
      </c>
      <c r="D720" s="8" t="s">
        <v>203</v>
      </c>
      <c r="E720" s="115">
        <v>320</v>
      </c>
      <c r="F720" s="7">
        <f t="shared" si="168"/>
        <v>962.5</v>
      </c>
      <c r="G720" s="7">
        <f t="shared" si="168"/>
        <v>0</v>
      </c>
      <c r="H720" s="36">
        <f t="shared" si="166"/>
        <v>962.5</v>
      </c>
      <c r="I720" s="7">
        <f t="shared" si="168"/>
        <v>0</v>
      </c>
      <c r="J720" s="36">
        <f t="shared" si="164"/>
        <v>962.5</v>
      </c>
      <c r="K720" s="7">
        <f t="shared" si="168"/>
        <v>0</v>
      </c>
      <c r="L720" s="36">
        <f t="shared" si="162"/>
        <v>962.5</v>
      </c>
      <c r="M720" s="7">
        <f t="shared" si="168"/>
        <v>0</v>
      </c>
      <c r="N720" s="36">
        <f t="shared" si="163"/>
        <v>962.5</v>
      </c>
      <c r="O720" s="7">
        <f t="shared" si="168"/>
        <v>0</v>
      </c>
      <c r="P720" s="36">
        <f t="shared" si="159"/>
        <v>962.5</v>
      </c>
      <c r="Q720" s="7">
        <f t="shared" si="168"/>
        <v>0</v>
      </c>
      <c r="R720" s="36">
        <f t="shared" si="160"/>
        <v>962.5</v>
      </c>
    </row>
    <row r="721" spans="1:18" ht="33">
      <c r="A721" s="62" t="str">
        <f ca="1">IF(ISERROR(MATCH(E721,Код_КВР,0)),"",INDIRECT(ADDRESS(MATCH(E721,Код_КВР,0)+1,2,,,"КВР")))</f>
        <v>Приобретение товаров, работ, услуг в пользу граждан в целях их социального обеспечения</v>
      </c>
      <c r="B721" s="46" t="s">
        <v>7</v>
      </c>
      <c r="C721" s="8" t="s">
        <v>203</v>
      </c>
      <c r="D721" s="8" t="s">
        <v>203</v>
      </c>
      <c r="E721" s="115">
        <v>323</v>
      </c>
      <c r="F721" s="7">
        <f>'прил.5'!G1238</f>
        <v>962.5</v>
      </c>
      <c r="G721" s="7">
        <f>'прил.5'!H1238</f>
        <v>0</v>
      </c>
      <c r="H721" s="36">
        <f t="shared" si="166"/>
        <v>962.5</v>
      </c>
      <c r="I721" s="7">
        <f>'прил.5'!J1238</f>
        <v>0</v>
      </c>
      <c r="J721" s="36">
        <f t="shared" si="164"/>
        <v>962.5</v>
      </c>
      <c r="K721" s="7">
        <f>'прил.5'!L1238</f>
        <v>0</v>
      </c>
      <c r="L721" s="36">
        <f t="shared" si="162"/>
        <v>962.5</v>
      </c>
      <c r="M721" s="7">
        <f>'прил.5'!N1238</f>
        <v>0</v>
      </c>
      <c r="N721" s="36">
        <f t="shared" si="163"/>
        <v>962.5</v>
      </c>
      <c r="O721" s="7">
        <f>'прил.5'!P1238</f>
        <v>0</v>
      </c>
      <c r="P721" s="36">
        <f t="shared" si="159"/>
        <v>962.5</v>
      </c>
      <c r="Q721" s="7">
        <f>'прил.5'!R1238</f>
        <v>0</v>
      </c>
      <c r="R721" s="36">
        <f t="shared" si="160"/>
        <v>962.5</v>
      </c>
    </row>
    <row r="722" spans="1:18" ht="75" customHeight="1">
      <c r="A722" s="62" t="str">
        <f ca="1">IF(ISERROR(MATCH(B722,Код_КЦСР,0)),"",INDIRECT(ADDRESS(MATCH(B722,Код_КЦСР,0)+1,2,,,"КЦСР")))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722" s="48" t="s">
        <v>9</v>
      </c>
      <c r="C722" s="8"/>
      <c r="D722" s="1"/>
      <c r="E722" s="115"/>
      <c r="F722" s="7">
        <f aca="true" t="shared" si="169" ref="F722:Q726">F723</f>
        <v>113.2</v>
      </c>
      <c r="G722" s="7">
        <f t="shared" si="169"/>
        <v>0</v>
      </c>
      <c r="H722" s="36">
        <f t="shared" si="166"/>
        <v>113.2</v>
      </c>
      <c r="I722" s="7">
        <f t="shared" si="169"/>
        <v>0</v>
      </c>
      <c r="J722" s="36">
        <f t="shared" si="164"/>
        <v>113.2</v>
      </c>
      <c r="K722" s="7">
        <f t="shared" si="169"/>
        <v>0</v>
      </c>
      <c r="L722" s="36">
        <f t="shared" si="162"/>
        <v>113.2</v>
      </c>
      <c r="M722" s="7">
        <f t="shared" si="169"/>
        <v>0</v>
      </c>
      <c r="N722" s="36">
        <f t="shared" si="163"/>
        <v>113.2</v>
      </c>
      <c r="O722" s="7">
        <f t="shared" si="169"/>
        <v>0</v>
      </c>
      <c r="P722" s="36">
        <f t="shared" si="159"/>
        <v>113.2</v>
      </c>
      <c r="Q722" s="7">
        <f t="shared" si="169"/>
        <v>0</v>
      </c>
      <c r="R722" s="36">
        <f t="shared" si="160"/>
        <v>113.2</v>
      </c>
    </row>
    <row r="723" spans="1:18" ht="12.75">
      <c r="A723" s="62" t="str">
        <f ca="1">IF(ISERROR(MATCH(C723,Код_Раздел,0)),"",INDIRECT(ADDRESS(MATCH(C723,Код_Раздел,0)+1,2,,,"Раздел")))</f>
        <v>Образование</v>
      </c>
      <c r="B723" s="48" t="s">
        <v>9</v>
      </c>
      <c r="C723" s="8" t="s">
        <v>203</v>
      </c>
      <c r="D723" s="1"/>
      <c r="E723" s="115"/>
      <c r="F723" s="7">
        <f t="shared" si="169"/>
        <v>113.2</v>
      </c>
      <c r="G723" s="7">
        <f t="shared" si="169"/>
        <v>0</v>
      </c>
      <c r="H723" s="36">
        <f t="shared" si="166"/>
        <v>113.2</v>
      </c>
      <c r="I723" s="7">
        <f t="shared" si="169"/>
        <v>0</v>
      </c>
      <c r="J723" s="36">
        <f t="shared" si="164"/>
        <v>113.2</v>
      </c>
      <c r="K723" s="7">
        <f t="shared" si="169"/>
        <v>0</v>
      </c>
      <c r="L723" s="36">
        <f t="shared" si="162"/>
        <v>113.2</v>
      </c>
      <c r="M723" s="7">
        <f t="shared" si="169"/>
        <v>0</v>
      </c>
      <c r="N723" s="36">
        <f t="shared" si="163"/>
        <v>113.2</v>
      </c>
      <c r="O723" s="7">
        <f t="shared" si="169"/>
        <v>0</v>
      </c>
      <c r="P723" s="36">
        <f t="shared" si="159"/>
        <v>113.2</v>
      </c>
      <c r="Q723" s="7">
        <f t="shared" si="169"/>
        <v>0</v>
      </c>
      <c r="R723" s="36">
        <f t="shared" si="160"/>
        <v>113.2</v>
      </c>
    </row>
    <row r="724" spans="1:18" ht="12.75">
      <c r="A724" s="12" t="s">
        <v>207</v>
      </c>
      <c r="B724" s="48" t="s">
        <v>9</v>
      </c>
      <c r="C724" s="8" t="s">
        <v>203</v>
      </c>
      <c r="D724" s="8" t="s">
        <v>203</v>
      </c>
      <c r="E724" s="115"/>
      <c r="F724" s="7">
        <f t="shared" si="169"/>
        <v>113.2</v>
      </c>
      <c r="G724" s="7">
        <f t="shared" si="169"/>
        <v>0</v>
      </c>
      <c r="H724" s="36">
        <f t="shared" si="166"/>
        <v>113.2</v>
      </c>
      <c r="I724" s="7">
        <f t="shared" si="169"/>
        <v>0</v>
      </c>
      <c r="J724" s="36">
        <f t="shared" si="164"/>
        <v>113.2</v>
      </c>
      <c r="K724" s="7">
        <f t="shared" si="169"/>
        <v>0</v>
      </c>
      <c r="L724" s="36">
        <f t="shared" si="162"/>
        <v>113.2</v>
      </c>
      <c r="M724" s="7">
        <f t="shared" si="169"/>
        <v>0</v>
      </c>
      <c r="N724" s="36">
        <f t="shared" si="163"/>
        <v>113.2</v>
      </c>
      <c r="O724" s="7">
        <f t="shared" si="169"/>
        <v>0</v>
      </c>
      <c r="P724" s="36">
        <f t="shared" si="159"/>
        <v>113.2</v>
      </c>
      <c r="Q724" s="7">
        <f t="shared" si="169"/>
        <v>0</v>
      </c>
      <c r="R724" s="36">
        <f t="shared" si="160"/>
        <v>113.2</v>
      </c>
    </row>
    <row r="725" spans="1:18" ht="33">
      <c r="A725" s="62" t="str">
        <f ca="1">IF(ISERROR(MATCH(E725,Код_КВР,0)),"",INDIRECT(ADDRESS(MATCH(E725,Код_КВР,0)+1,2,,,"КВР")))</f>
        <v>Капитальные вложения в объекты недвижимого имущества муниципальной собственности</v>
      </c>
      <c r="B725" s="48" t="s">
        <v>9</v>
      </c>
      <c r="C725" s="8" t="s">
        <v>203</v>
      </c>
      <c r="D725" s="8" t="s">
        <v>203</v>
      </c>
      <c r="E725" s="115">
        <v>400</v>
      </c>
      <c r="F725" s="7">
        <f t="shared" si="169"/>
        <v>113.2</v>
      </c>
      <c r="G725" s="7">
        <f t="shared" si="169"/>
        <v>0</v>
      </c>
      <c r="H725" s="36">
        <f t="shared" si="166"/>
        <v>113.2</v>
      </c>
      <c r="I725" s="7">
        <f t="shared" si="169"/>
        <v>0</v>
      </c>
      <c r="J725" s="36">
        <f t="shared" si="164"/>
        <v>113.2</v>
      </c>
      <c r="K725" s="7">
        <f t="shared" si="169"/>
        <v>0</v>
      </c>
      <c r="L725" s="36">
        <f t="shared" si="162"/>
        <v>113.2</v>
      </c>
      <c r="M725" s="7">
        <f t="shared" si="169"/>
        <v>0</v>
      </c>
      <c r="N725" s="36">
        <f t="shared" si="163"/>
        <v>113.2</v>
      </c>
      <c r="O725" s="7">
        <f t="shared" si="169"/>
        <v>0</v>
      </c>
      <c r="P725" s="36">
        <f t="shared" si="159"/>
        <v>113.2</v>
      </c>
      <c r="Q725" s="7">
        <f t="shared" si="169"/>
        <v>0</v>
      </c>
      <c r="R725" s="36">
        <f t="shared" si="160"/>
        <v>113.2</v>
      </c>
    </row>
    <row r="726" spans="1:18" ht="12.75">
      <c r="A726" s="62" t="str">
        <f ca="1">IF(ISERROR(MATCH(E726,Код_КВР,0)),"",INDIRECT(ADDRESS(MATCH(E726,Код_КВР,0)+1,2,,,"КВР")))</f>
        <v>Бюджетные инвестиции</v>
      </c>
      <c r="B726" s="48" t="s">
        <v>9</v>
      </c>
      <c r="C726" s="8" t="s">
        <v>203</v>
      </c>
      <c r="D726" s="8" t="s">
        <v>203</v>
      </c>
      <c r="E726" s="115">
        <v>410</v>
      </c>
      <c r="F726" s="7">
        <f t="shared" si="169"/>
        <v>113.2</v>
      </c>
      <c r="G726" s="7">
        <f t="shared" si="169"/>
        <v>0</v>
      </c>
      <c r="H726" s="36">
        <f t="shared" si="166"/>
        <v>113.2</v>
      </c>
      <c r="I726" s="7">
        <f t="shared" si="169"/>
        <v>0</v>
      </c>
      <c r="J726" s="36">
        <f t="shared" si="164"/>
        <v>113.2</v>
      </c>
      <c r="K726" s="7">
        <f t="shared" si="169"/>
        <v>0</v>
      </c>
      <c r="L726" s="36">
        <f t="shared" si="162"/>
        <v>113.2</v>
      </c>
      <c r="M726" s="7">
        <f t="shared" si="169"/>
        <v>0</v>
      </c>
      <c r="N726" s="36">
        <f t="shared" si="163"/>
        <v>113.2</v>
      </c>
      <c r="O726" s="7">
        <f t="shared" si="169"/>
        <v>0</v>
      </c>
      <c r="P726" s="36">
        <f t="shared" si="159"/>
        <v>113.2</v>
      </c>
      <c r="Q726" s="7">
        <f t="shared" si="169"/>
        <v>0</v>
      </c>
      <c r="R726" s="36">
        <f t="shared" si="160"/>
        <v>113.2</v>
      </c>
    </row>
    <row r="727" spans="1:18" ht="33">
      <c r="A727" s="62" t="str">
        <f ca="1">IF(ISERROR(MATCH(E727,Код_КВР,0)),"",INDIRECT(ADDRESS(MATCH(E727,Код_КВР,0)+1,2,,,"КВР")))</f>
        <v>Бюджетные инвестиции в объекты капитального строительства муниципальной собственности</v>
      </c>
      <c r="B727" s="48" t="s">
        <v>9</v>
      </c>
      <c r="C727" s="8" t="s">
        <v>203</v>
      </c>
      <c r="D727" s="8" t="s">
        <v>203</v>
      </c>
      <c r="E727" s="115">
        <v>414</v>
      </c>
      <c r="F727" s="7">
        <f>'прил.5'!G1523</f>
        <v>113.2</v>
      </c>
      <c r="G727" s="7">
        <f>'прил.5'!H1523</f>
        <v>0</v>
      </c>
      <c r="H727" s="36">
        <f t="shared" si="166"/>
        <v>113.2</v>
      </c>
      <c r="I727" s="7">
        <f>'прил.5'!J1523</f>
        <v>0</v>
      </c>
      <c r="J727" s="36">
        <f t="shared" si="164"/>
        <v>113.2</v>
      </c>
      <c r="K727" s="7">
        <f>'прил.5'!L1523</f>
        <v>0</v>
      </c>
      <c r="L727" s="36">
        <f t="shared" si="162"/>
        <v>113.2</v>
      </c>
      <c r="M727" s="7">
        <f>'прил.5'!N1523</f>
        <v>0</v>
      </c>
      <c r="N727" s="36">
        <f t="shared" si="163"/>
        <v>113.2</v>
      </c>
      <c r="O727" s="7">
        <f>'прил.5'!P1523</f>
        <v>0</v>
      </c>
      <c r="P727" s="36">
        <f t="shared" si="159"/>
        <v>113.2</v>
      </c>
      <c r="Q727" s="7">
        <f>'прил.5'!R1523</f>
        <v>0</v>
      </c>
      <c r="R727" s="36">
        <f t="shared" si="160"/>
        <v>113.2</v>
      </c>
    </row>
    <row r="728" spans="1:18" ht="68.25" customHeight="1">
      <c r="A728" s="62" t="str">
        <f ca="1">IF(ISERROR(MATCH(B728,Код_КЦСР,0)),"",INDIRECT(ADDRESS(MATCH(B728,Код_КЦСР,0)+1,2,,,"КЦСР")))</f>
        <v>Мероприятия по подпрограмме "Безбарьерная среда" в рамках софинансирования с государственной программой "Социальная поддержка граждан в Вологодской области на 2014-2018 годы"</v>
      </c>
      <c r="B728" s="46" t="s">
        <v>676</v>
      </c>
      <c r="C728" s="8"/>
      <c r="D728" s="1"/>
      <c r="E728" s="132"/>
      <c r="F728" s="7"/>
      <c r="G728" s="7"/>
      <c r="H728" s="36"/>
      <c r="I728" s="7"/>
      <c r="J728" s="36"/>
      <c r="K728" s="7"/>
      <c r="L728" s="36"/>
      <c r="M728" s="7"/>
      <c r="N728" s="36"/>
      <c r="O728" s="7"/>
      <c r="P728" s="36"/>
      <c r="Q728" s="7">
        <f>Q729</f>
        <v>75</v>
      </c>
      <c r="R728" s="36">
        <f t="shared" si="160"/>
        <v>75</v>
      </c>
    </row>
    <row r="729" spans="1:18" ht="12.75">
      <c r="A729" s="62" t="str">
        <f ca="1">IF(ISERROR(MATCH(C729,Код_Раздел,0)),"",INDIRECT(ADDRESS(MATCH(C729,Код_Раздел,0)+1,2,,,"Раздел")))</f>
        <v>Национальная экономика</v>
      </c>
      <c r="B729" s="46" t="s">
        <v>676</v>
      </c>
      <c r="C729" s="8" t="s">
        <v>224</v>
      </c>
      <c r="D729" s="1"/>
      <c r="E729" s="132"/>
      <c r="F729" s="7"/>
      <c r="G729" s="7"/>
      <c r="H729" s="36"/>
      <c r="I729" s="7"/>
      <c r="J729" s="36"/>
      <c r="K729" s="7"/>
      <c r="L729" s="36"/>
      <c r="M729" s="7"/>
      <c r="N729" s="36"/>
      <c r="O729" s="7"/>
      <c r="P729" s="36"/>
      <c r="Q729" s="7">
        <f>Q730</f>
        <v>75</v>
      </c>
      <c r="R729" s="36">
        <f t="shared" si="160"/>
        <v>75</v>
      </c>
    </row>
    <row r="730" spans="1:18" ht="20.25" customHeight="1">
      <c r="A730" s="79" t="s">
        <v>188</v>
      </c>
      <c r="B730" s="46" t="s">
        <v>676</v>
      </c>
      <c r="C730" s="8" t="s">
        <v>224</v>
      </c>
      <c r="D730" s="8" t="s">
        <v>227</v>
      </c>
      <c r="E730" s="132"/>
      <c r="F730" s="7"/>
      <c r="G730" s="7"/>
      <c r="H730" s="36"/>
      <c r="I730" s="7"/>
      <c r="J730" s="36"/>
      <c r="K730" s="7"/>
      <c r="L730" s="36"/>
      <c r="M730" s="7"/>
      <c r="N730" s="36"/>
      <c r="O730" s="7"/>
      <c r="P730" s="36"/>
      <c r="Q730" s="7">
        <f>Q731</f>
        <v>75</v>
      </c>
      <c r="R730" s="36">
        <f t="shared" si="160"/>
        <v>75</v>
      </c>
    </row>
    <row r="731" spans="1:18" ht="21" customHeight="1">
      <c r="A731" s="62" t="str">
        <f ca="1">IF(ISERROR(MATCH(E731,Код_КВР,0)),"",INDIRECT(ADDRESS(MATCH(E731,Код_КВР,0)+1,2,,,"КВР")))</f>
        <v>Социальное обеспечение и иные выплаты населению</v>
      </c>
      <c r="B731" s="46" t="s">
        <v>676</v>
      </c>
      <c r="C731" s="8" t="s">
        <v>224</v>
      </c>
      <c r="D731" s="8" t="s">
        <v>227</v>
      </c>
      <c r="E731" s="132">
        <v>300</v>
      </c>
      <c r="F731" s="7"/>
      <c r="G731" s="7"/>
      <c r="H731" s="36"/>
      <c r="I731" s="7"/>
      <c r="J731" s="36"/>
      <c r="K731" s="7"/>
      <c r="L731" s="36"/>
      <c r="M731" s="7"/>
      <c r="N731" s="36"/>
      <c r="O731" s="7"/>
      <c r="P731" s="36"/>
      <c r="Q731" s="7">
        <f>Q732</f>
        <v>75</v>
      </c>
      <c r="R731" s="36">
        <f t="shared" si="160"/>
        <v>75</v>
      </c>
    </row>
    <row r="732" spans="1:18" ht="21" customHeight="1">
      <c r="A732" s="62" t="str">
        <f ca="1">IF(ISERROR(MATCH(E732,Код_КВР,0)),"",INDIRECT(ADDRESS(MATCH(E732,Код_КВР,0)+1,2,,,"КВР")))</f>
        <v>Публичные нормативные социальные выплаты гражданам</v>
      </c>
      <c r="B732" s="46" t="s">
        <v>676</v>
      </c>
      <c r="C732" s="8" t="s">
        <v>224</v>
      </c>
      <c r="D732" s="8" t="s">
        <v>227</v>
      </c>
      <c r="E732" s="132">
        <v>310</v>
      </c>
      <c r="F732" s="7"/>
      <c r="G732" s="7"/>
      <c r="H732" s="36"/>
      <c r="I732" s="7"/>
      <c r="J732" s="36"/>
      <c r="K732" s="7"/>
      <c r="L732" s="36"/>
      <c r="M732" s="7"/>
      <c r="N732" s="36"/>
      <c r="O732" s="7"/>
      <c r="P732" s="36"/>
      <c r="Q732" s="7">
        <f>Q733</f>
        <v>75</v>
      </c>
      <c r="R732" s="36">
        <f t="shared" si="160"/>
        <v>75</v>
      </c>
    </row>
    <row r="733" spans="1:18" ht="33">
      <c r="A733" s="62" t="str">
        <f ca="1">IF(ISERROR(MATCH(E733,Код_КВР,0)),"",INDIRECT(ADDRESS(MATCH(E733,Код_КВР,0)+1,2,,,"КВР")))</f>
        <v>Пособия, компенсации, меры социальной поддержки по публичным нормативным обязательствам</v>
      </c>
      <c r="B733" s="46" t="s">
        <v>676</v>
      </c>
      <c r="C733" s="8" t="s">
        <v>224</v>
      </c>
      <c r="D733" s="8" t="s">
        <v>227</v>
      </c>
      <c r="E733" s="132">
        <v>313</v>
      </c>
      <c r="F733" s="7"/>
      <c r="G733" s="7"/>
      <c r="H733" s="36"/>
      <c r="I733" s="7"/>
      <c r="J733" s="36"/>
      <c r="K733" s="7"/>
      <c r="L733" s="36"/>
      <c r="M733" s="7"/>
      <c r="N733" s="36"/>
      <c r="O733" s="7"/>
      <c r="P733" s="36"/>
      <c r="Q733" s="7">
        <f>'прил.5'!R428</f>
        <v>75</v>
      </c>
      <c r="R733" s="36">
        <f t="shared" si="160"/>
        <v>75</v>
      </c>
    </row>
    <row r="734" spans="1:18" ht="33">
      <c r="A734" s="62" t="str">
        <f ca="1">IF(ISERROR(MATCH(B734,Код_КЦСР,0)),"",INDIRECT(ADDRESS(MATCH(B734,Код_КЦСР,0)+1,2,,,"КЦСР")))</f>
        <v>Выплата ежемесячного социального пособия на оздоровление работникам учреждений здравоохранения</v>
      </c>
      <c r="B734" s="46" t="s">
        <v>10</v>
      </c>
      <c r="C734" s="8"/>
      <c r="D734" s="1"/>
      <c r="E734" s="115"/>
      <c r="F734" s="7">
        <f aca="true" t="shared" si="170" ref="F734:Q739">F735</f>
        <v>27293</v>
      </c>
      <c r="G734" s="7">
        <f t="shared" si="170"/>
        <v>0</v>
      </c>
      <c r="H734" s="36">
        <f t="shared" si="166"/>
        <v>27293</v>
      </c>
      <c r="I734" s="7">
        <f t="shared" si="170"/>
        <v>0</v>
      </c>
      <c r="J734" s="36">
        <f t="shared" si="164"/>
        <v>27293</v>
      </c>
      <c r="K734" s="7">
        <f t="shared" si="170"/>
        <v>-825</v>
      </c>
      <c r="L734" s="36">
        <f t="shared" si="162"/>
        <v>26468</v>
      </c>
      <c r="M734" s="7">
        <f t="shared" si="170"/>
        <v>0</v>
      </c>
      <c r="N734" s="36">
        <f t="shared" si="163"/>
        <v>26468</v>
      </c>
      <c r="O734" s="7">
        <f t="shared" si="170"/>
        <v>0</v>
      </c>
      <c r="P734" s="36">
        <f t="shared" si="159"/>
        <v>26468</v>
      </c>
      <c r="Q734" s="7">
        <f t="shared" si="170"/>
        <v>0</v>
      </c>
      <c r="R734" s="36">
        <f t="shared" si="160"/>
        <v>26468</v>
      </c>
    </row>
    <row r="735" spans="1:18" ht="71.25" customHeight="1">
      <c r="A735" s="62" t="str">
        <f ca="1">IF(ISERROR(MATCH(B735,Код_КЦСР,0)),"",INDIRECT(ADDRESS(MATCH(B735,Код_КЦСР,0)+1,2,,,"КЦСР")))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735" s="46" t="s">
        <v>12</v>
      </c>
      <c r="C735" s="8"/>
      <c r="D735" s="1"/>
      <c r="E735" s="115"/>
      <c r="F735" s="7">
        <f t="shared" si="170"/>
        <v>27293</v>
      </c>
      <c r="G735" s="7">
        <f t="shared" si="170"/>
        <v>0</v>
      </c>
      <c r="H735" s="36">
        <f t="shared" si="166"/>
        <v>27293</v>
      </c>
      <c r="I735" s="7">
        <f t="shared" si="170"/>
        <v>0</v>
      </c>
      <c r="J735" s="36">
        <f t="shared" si="164"/>
        <v>27293</v>
      </c>
      <c r="K735" s="7">
        <f t="shared" si="170"/>
        <v>-825</v>
      </c>
      <c r="L735" s="36">
        <f t="shared" si="162"/>
        <v>26468</v>
      </c>
      <c r="M735" s="7">
        <f t="shared" si="170"/>
        <v>0</v>
      </c>
      <c r="N735" s="36">
        <f t="shared" si="163"/>
        <v>26468</v>
      </c>
      <c r="O735" s="7">
        <f t="shared" si="170"/>
        <v>0</v>
      </c>
      <c r="P735" s="36">
        <f t="shared" si="159"/>
        <v>26468</v>
      </c>
      <c r="Q735" s="7">
        <f t="shared" si="170"/>
        <v>0</v>
      </c>
      <c r="R735" s="36">
        <f t="shared" si="160"/>
        <v>26468</v>
      </c>
    </row>
    <row r="736" spans="1:18" ht="12.75">
      <c r="A736" s="62" t="str">
        <f ca="1">IF(ISERROR(MATCH(C736,Код_Раздел,0)),"",INDIRECT(ADDRESS(MATCH(C736,Код_Раздел,0)+1,2,,,"Раздел")))</f>
        <v>Социальная политика</v>
      </c>
      <c r="B736" s="46" t="s">
        <v>12</v>
      </c>
      <c r="C736" s="8" t="s">
        <v>196</v>
      </c>
      <c r="D736" s="1"/>
      <c r="E736" s="115"/>
      <c r="F736" s="7">
        <f t="shared" si="170"/>
        <v>27293</v>
      </c>
      <c r="G736" s="7">
        <f t="shared" si="170"/>
        <v>0</v>
      </c>
      <c r="H736" s="36">
        <f t="shared" si="166"/>
        <v>27293</v>
      </c>
      <c r="I736" s="7">
        <f t="shared" si="170"/>
        <v>0</v>
      </c>
      <c r="J736" s="36">
        <f t="shared" si="164"/>
        <v>27293</v>
      </c>
      <c r="K736" s="7">
        <f t="shared" si="170"/>
        <v>-825</v>
      </c>
      <c r="L736" s="36">
        <f t="shared" si="162"/>
        <v>26468</v>
      </c>
      <c r="M736" s="7">
        <f t="shared" si="170"/>
        <v>0</v>
      </c>
      <c r="N736" s="36">
        <f t="shared" si="163"/>
        <v>26468</v>
      </c>
      <c r="O736" s="7">
        <f t="shared" si="170"/>
        <v>0</v>
      </c>
      <c r="P736" s="36">
        <f t="shared" si="159"/>
        <v>26468</v>
      </c>
      <c r="Q736" s="7">
        <f t="shared" si="170"/>
        <v>0</v>
      </c>
      <c r="R736" s="36">
        <f t="shared" si="160"/>
        <v>26468</v>
      </c>
    </row>
    <row r="737" spans="1:18" ht="12.75">
      <c r="A737" s="12" t="s">
        <v>187</v>
      </c>
      <c r="B737" s="46" t="s">
        <v>12</v>
      </c>
      <c r="C737" s="8" t="s">
        <v>196</v>
      </c>
      <c r="D737" s="8" t="s">
        <v>223</v>
      </c>
      <c r="E737" s="115"/>
      <c r="F737" s="7">
        <f t="shared" si="170"/>
        <v>27293</v>
      </c>
      <c r="G737" s="7">
        <f t="shared" si="170"/>
        <v>0</v>
      </c>
      <c r="H737" s="36">
        <f t="shared" si="166"/>
        <v>27293</v>
      </c>
      <c r="I737" s="7">
        <f t="shared" si="170"/>
        <v>0</v>
      </c>
      <c r="J737" s="36">
        <f t="shared" si="164"/>
        <v>27293</v>
      </c>
      <c r="K737" s="7">
        <f t="shared" si="170"/>
        <v>-825</v>
      </c>
      <c r="L737" s="36">
        <f t="shared" si="162"/>
        <v>26468</v>
      </c>
      <c r="M737" s="7">
        <f t="shared" si="170"/>
        <v>0</v>
      </c>
      <c r="N737" s="36">
        <f t="shared" si="163"/>
        <v>26468</v>
      </c>
      <c r="O737" s="7">
        <f t="shared" si="170"/>
        <v>0</v>
      </c>
      <c r="P737" s="36">
        <f t="shared" si="159"/>
        <v>26468</v>
      </c>
      <c r="Q737" s="7">
        <f t="shared" si="170"/>
        <v>0</v>
      </c>
      <c r="R737" s="36">
        <f t="shared" si="160"/>
        <v>26468</v>
      </c>
    </row>
    <row r="738" spans="1:18" ht="12.75">
      <c r="A738" s="62" t="str">
        <f ca="1">IF(ISERROR(MATCH(E738,Код_КВР,0)),"",INDIRECT(ADDRESS(MATCH(E738,Код_КВР,0)+1,2,,,"КВР")))</f>
        <v>Социальное обеспечение и иные выплаты населению</v>
      </c>
      <c r="B738" s="46" t="s">
        <v>12</v>
      </c>
      <c r="C738" s="8" t="s">
        <v>196</v>
      </c>
      <c r="D738" s="8" t="s">
        <v>223</v>
      </c>
      <c r="E738" s="115">
        <v>300</v>
      </c>
      <c r="F738" s="7">
        <f t="shared" si="170"/>
        <v>27293</v>
      </c>
      <c r="G738" s="7">
        <f t="shared" si="170"/>
        <v>0</v>
      </c>
      <c r="H738" s="36">
        <f t="shared" si="166"/>
        <v>27293</v>
      </c>
      <c r="I738" s="7">
        <f t="shared" si="170"/>
        <v>0</v>
      </c>
      <c r="J738" s="36">
        <f t="shared" si="164"/>
        <v>27293</v>
      </c>
      <c r="K738" s="7">
        <f t="shared" si="170"/>
        <v>-825</v>
      </c>
      <c r="L738" s="36">
        <f t="shared" si="162"/>
        <v>26468</v>
      </c>
      <c r="M738" s="7">
        <f t="shared" si="170"/>
        <v>0</v>
      </c>
      <c r="N738" s="36">
        <f t="shared" si="163"/>
        <v>26468</v>
      </c>
      <c r="O738" s="7">
        <f t="shared" si="170"/>
        <v>0</v>
      </c>
      <c r="P738" s="36">
        <f t="shared" si="159"/>
        <v>26468</v>
      </c>
      <c r="Q738" s="7">
        <f t="shared" si="170"/>
        <v>0</v>
      </c>
      <c r="R738" s="36">
        <f t="shared" si="160"/>
        <v>26468</v>
      </c>
    </row>
    <row r="739" spans="1:18" ht="18.75" customHeight="1">
      <c r="A739" s="62" t="str">
        <f ca="1">IF(ISERROR(MATCH(E739,Код_КВР,0)),"",INDIRECT(ADDRESS(MATCH(E739,Код_КВР,0)+1,2,,,"КВР")))</f>
        <v>Публичные нормативные социальные выплаты гражданам</v>
      </c>
      <c r="B739" s="46" t="s">
        <v>12</v>
      </c>
      <c r="C739" s="8" t="s">
        <v>196</v>
      </c>
      <c r="D739" s="8" t="s">
        <v>223</v>
      </c>
      <c r="E739" s="115">
        <v>310</v>
      </c>
      <c r="F739" s="7">
        <f t="shared" si="170"/>
        <v>27293</v>
      </c>
      <c r="G739" s="7">
        <f t="shared" si="170"/>
        <v>0</v>
      </c>
      <c r="H739" s="36">
        <f t="shared" si="166"/>
        <v>27293</v>
      </c>
      <c r="I739" s="7">
        <f t="shared" si="170"/>
        <v>0</v>
      </c>
      <c r="J739" s="36">
        <f t="shared" si="164"/>
        <v>27293</v>
      </c>
      <c r="K739" s="7">
        <f t="shared" si="170"/>
        <v>-825</v>
      </c>
      <c r="L739" s="36">
        <f t="shared" si="162"/>
        <v>26468</v>
      </c>
      <c r="M739" s="7">
        <f t="shared" si="170"/>
        <v>0</v>
      </c>
      <c r="N739" s="36">
        <f t="shared" si="163"/>
        <v>26468</v>
      </c>
      <c r="O739" s="7">
        <f t="shared" si="170"/>
        <v>0</v>
      </c>
      <c r="P739" s="36">
        <f t="shared" si="159"/>
        <v>26468</v>
      </c>
      <c r="Q739" s="7">
        <f t="shared" si="170"/>
        <v>0</v>
      </c>
      <c r="R739" s="36">
        <f t="shared" si="160"/>
        <v>26468</v>
      </c>
    </row>
    <row r="740" spans="1:18" ht="35.25" customHeight="1">
      <c r="A740" s="62" t="str">
        <f ca="1">IF(ISERROR(MATCH(E740,Код_КВР,0)),"",INDIRECT(ADDRESS(MATCH(E740,Код_КВР,0)+1,2,,,"КВР")))</f>
        <v>Пособия, компенсации, меры социальной поддержки по публичным нормативным обязательствам</v>
      </c>
      <c r="B740" s="46" t="s">
        <v>12</v>
      </c>
      <c r="C740" s="8" t="s">
        <v>196</v>
      </c>
      <c r="D740" s="8" t="s">
        <v>223</v>
      </c>
      <c r="E740" s="115">
        <v>313</v>
      </c>
      <c r="F740" s="7">
        <f>'прил.5'!G1277</f>
        <v>27293</v>
      </c>
      <c r="G740" s="7">
        <f>'прил.5'!H1277</f>
        <v>0</v>
      </c>
      <c r="H740" s="36">
        <f t="shared" si="166"/>
        <v>27293</v>
      </c>
      <c r="I740" s="7">
        <f>'прил.5'!J1277</f>
        <v>0</v>
      </c>
      <c r="J740" s="36">
        <f t="shared" si="164"/>
        <v>27293</v>
      </c>
      <c r="K740" s="7">
        <f>'прил.5'!L1277</f>
        <v>-825</v>
      </c>
      <c r="L740" s="36">
        <f t="shared" si="162"/>
        <v>26468</v>
      </c>
      <c r="M740" s="7">
        <f>'прил.5'!N1277</f>
        <v>0</v>
      </c>
      <c r="N740" s="36">
        <f t="shared" si="163"/>
        <v>26468</v>
      </c>
      <c r="O740" s="7">
        <f>'прил.5'!P1277</f>
        <v>0</v>
      </c>
      <c r="P740" s="36">
        <f t="shared" si="159"/>
        <v>26468</v>
      </c>
      <c r="Q740" s="7">
        <f>'прил.5'!R1277</f>
        <v>0</v>
      </c>
      <c r="R740" s="36">
        <f t="shared" si="160"/>
        <v>26468</v>
      </c>
    </row>
    <row r="741" spans="1:18" ht="36.75" customHeight="1">
      <c r="A741" s="62" t="str">
        <f ca="1">IF(ISERROR(MATCH(B741,Код_КЦСР,0)),"",INDIRECT(ADDRESS(MATCH(B741,Код_КЦСР,0)+1,2,,,"КЦСР")))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741" s="46" t="s">
        <v>13</v>
      </c>
      <c r="C741" s="8"/>
      <c r="D741" s="1"/>
      <c r="E741" s="115"/>
      <c r="F741" s="7">
        <f aca="true" t="shared" si="171" ref="F741:Q746">F742</f>
        <v>3888</v>
      </c>
      <c r="G741" s="7">
        <f t="shared" si="171"/>
        <v>0</v>
      </c>
      <c r="H741" s="36">
        <f t="shared" si="166"/>
        <v>3888</v>
      </c>
      <c r="I741" s="7">
        <f t="shared" si="171"/>
        <v>0</v>
      </c>
      <c r="J741" s="36">
        <f t="shared" si="164"/>
        <v>3888</v>
      </c>
      <c r="K741" s="7">
        <f t="shared" si="171"/>
        <v>0</v>
      </c>
      <c r="L741" s="36">
        <f t="shared" si="162"/>
        <v>3888</v>
      </c>
      <c r="M741" s="7">
        <f t="shared" si="171"/>
        <v>0</v>
      </c>
      <c r="N741" s="36">
        <f t="shared" si="163"/>
        <v>3888</v>
      </c>
      <c r="O741" s="7">
        <f t="shared" si="171"/>
        <v>0</v>
      </c>
      <c r="P741" s="36">
        <f t="shared" si="159"/>
        <v>3888</v>
      </c>
      <c r="Q741" s="7">
        <f t="shared" si="171"/>
        <v>0</v>
      </c>
      <c r="R741" s="36">
        <f t="shared" si="160"/>
        <v>3888</v>
      </c>
    </row>
    <row r="742" spans="1:18" ht="70.7" customHeight="1">
      <c r="A742" s="62" t="str">
        <f ca="1">IF(ISERROR(MATCH(B742,Код_КЦСР,0)),"",INDIRECT(ADDRESS(MATCH(B742,Код_КЦСР,0)+1,2,,,"КЦСР")))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742" s="46" t="s">
        <v>14</v>
      </c>
      <c r="C742" s="8"/>
      <c r="D742" s="1"/>
      <c r="E742" s="115"/>
      <c r="F742" s="7">
        <f t="shared" si="171"/>
        <v>3888</v>
      </c>
      <c r="G742" s="7">
        <f t="shared" si="171"/>
        <v>0</v>
      </c>
      <c r="H742" s="36">
        <f t="shared" si="166"/>
        <v>3888</v>
      </c>
      <c r="I742" s="7">
        <f t="shared" si="171"/>
        <v>0</v>
      </c>
      <c r="J742" s="36">
        <f t="shared" si="164"/>
        <v>3888</v>
      </c>
      <c r="K742" s="7">
        <f t="shared" si="171"/>
        <v>0</v>
      </c>
      <c r="L742" s="36">
        <f t="shared" si="162"/>
        <v>3888</v>
      </c>
      <c r="M742" s="7">
        <f t="shared" si="171"/>
        <v>0</v>
      </c>
      <c r="N742" s="36">
        <f t="shared" si="163"/>
        <v>3888</v>
      </c>
      <c r="O742" s="7">
        <f t="shared" si="171"/>
        <v>0</v>
      </c>
      <c r="P742" s="36">
        <f t="shared" si="159"/>
        <v>3888</v>
      </c>
      <c r="Q742" s="7">
        <f t="shared" si="171"/>
        <v>0</v>
      </c>
      <c r="R742" s="36">
        <f t="shared" si="160"/>
        <v>3888</v>
      </c>
    </row>
    <row r="743" spans="1:18" ht="12.75">
      <c r="A743" s="62" t="str">
        <f ca="1">IF(ISERROR(MATCH(C743,Код_Раздел,0)),"",INDIRECT(ADDRESS(MATCH(C743,Код_Раздел,0)+1,2,,,"Раздел")))</f>
        <v>Социальная политика</v>
      </c>
      <c r="B743" s="46" t="s">
        <v>14</v>
      </c>
      <c r="C743" s="8" t="s">
        <v>196</v>
      </c>
      <c r="D743" s="1"/>
      <c r="E743" s="115"/>
      <c r="F743" s="7">
        <f t="shared" si="171"/>
        <v>3888</v>
      </c>
      <c r="G743" s="7">
        <f t="shared" si="171"/>
        <v>0</v>
      </c>
      <c r="H743" s="36">
        <f t="shared" si="166"/>
        <v>3888</v>
      </c>
      <c r="I743" s="7">
        <f t="shared" si="171"/>
        <v>0</v>
      </c>
      <c r="J743" s="36">
        <f t="shared" si="164"/>
        <v>3888</v>
      </c>
      <c r="K743" s="7">
        <f t="shared" si="171"/>
        <v>0</v>
      </c>
      <c r="L743" s="36">
        <f t="shared" si="162"/>
        <v>3888</v>
      </c>
      <c r="M743" s="7">
        <f t="shared" si="171"/>
        <v>0</v>
      </c>
      <c r="N743" s="36">
        <f t="shared" si="163"/>
        <v>3888</v>
      </c>
      <c r="O743" s="7">
        <f t="shared" si="171"/>
        <v>0</v>
      </c>
      <c r="P743" s="36">
        <f t="shared" si="159"/>
        <v>3888</v>
      </c>
      <c r="Q743" s="7">
        <f t="shared" si="171"/>
        <v>0</v>
      </c>
      <c r="R743" s="36">
        <f t="shared" si="160"/>
        <v>3888</v>
      </c>
    </row>
    <row r="744" spans="1:18" ht="12.75">
      <c r="A744" s="12" t="s">
        <v>187</v>
      </c>
      <c r="B744" s="46" t="s">
        <v>14</v>
      </c>
      <c r="C744" s="8" t="s">
        <v>196</v>
      </c>
      <c r="D744" s="8" t="s">
        <v>223</v>
      </c>
      <c r="E744" s="115"/>
      <c r="F744" s="7">
        <f t="shared" si="171"/>
        <v>3888</v>
      </c>
      <c r="G744" s="7">
        <f t="shared" si="171"/>
        <v>0</v>
      </c>
      <c r="H744" s="36">
        <f t="shared" si="166"/>
        <v>3888</v>
      </c>
      <c r="I744" s="7">
        <f t="shared" si="171"/>
        <v>0</v>
      </c>
      <c r="J744" s="36">
        <f t="shared" si="164"/>
        <v>3888</v>
      </c>
      <c r="K744" s="7">
        <f t="shared" si="171"/>
        <v>0</v>
      </c>
      <c r="L744" s="36">
        <f t="shared" si="162"/>
        <v>3888</v>
      </c>
      <c r="M744" s="7">
        <f t="shared" si="171"/>
        <v>0</v>
      </c>
      <c r="N744" s="36">
        <f t="shared" si="163"/>
        <v>3888</v>
      </c>
      <c r="O744" s="7">
        <f t="shared" si="171"/>
        <v>0</v>
      </c>
      <c r="P744" s="36">
        <f t="shared" si="159"/>
        <v>3888</v>
      </c>
      <c r="Q744" s="7">
        <f t="shared" si="171"/>
        <v>0</v>
      </c>
      <c r="R744" s="36">
        <f t="shared" si="160"/>
        <v>3888</v>
      </c>
    </row>
    <row r="745" spans="1:18" ht="12.75">
      <c r="A745" s="62" t="str">
        <f ca="1">IF(ISERROR(MATCH(E745,Код_КВР,0)),"",INDIRECT(ADDRESS(MATCH(E745,Код_КВР,0)+1,2,,,"КВР")))</f>
        <v>Социальное обеспечение и иные выплаты населению</v>
      </c>
      <c r="B745" s="46" t="s">
        <v>14</v>
      </c>
      <c r="C745" s="8" t="s">
        <v>196</v>
      </c>
      <c r="D745" s="8" t="s">
        <v>223</v>
      </c>
      <c r="E745" s="115">
        <v>300</v>
      </c>
      <c r="F745" s="7">
        <f t="shared" si="171"/>
        <v>3888</v>
      </c>
      <c r="G745" s="7">
        <f t="shared" si="171"/>
        <v>0</v>
      </c>
      <c r="H745" s="36">
        <f t="shared" si="166"/>
        <v>3888</v>
      </c>
      <c r="I745" s="7">
        <f t="shared" si="171"/>
        <v>0</v>
      </c>
      <c r="J745" s="36">
        <f t="shared" si="164"/>
        <v>3888</v>
      </c>
      <c r="K745" s="7">
        <f t="shared" si="171"/>
        <v>0</v>
      </c>
      <c r="L745" s="36">
        <f t="shared" si="162"/>
        <v>3888</v>
      </c>
      <c r="M745" s="7">
        <f t="shared" si="171"/>
        <v>0</v>
      </c>
      <c r="N745" s="36">
        <f t="shared" si="163"/>
        <v>3888</v>
      </c>
      <c r="O745" s="7">
        <f t="shared" si="171"/>
        <v>0</v>
      </c>
      <c r="P745" s="36">
        <f t="shared" si="159"/>
        <v>3888</v>
      </c>
      <c r="Q745" s="7">
        <f t="shared" si="171"/>
        <v>0</v>
      </c>
      <c r="R745" s="36">
        <f t="shared" si="160"/>
        <v>3888</v>
      </c>
    </row>
    <row r="746" spans="1:18" ht="12.75">
      <c r="A746" s="62" t="str">
        <f ca="1">IF(ISERROR(MATCH(E746,Код_КВР,0)),"",INDIRECT(ADDRESS(MATCH(E746,Код_КВР,0)+1,2,,,"КВР")))</f>
        <v>Публичные нормативные социальные выплаты гражданам</v>
      </c>
      <c r="B746" s="46" t="s">
        <v>14</v>
      </c>
      <c r="C746" s="8" t="s">
        <v>196</v>
      </c>
      <c r="D746" s="8" t="s">
        <v>223</v>
      </c>
      <c r="E746" s="115">
        <v>310</v>
      </c>
      <c r="F746" s="7">
        <f t="shared" si="171"/>
        <v>3888</v>
      </c>
      <c r="G746" s="7">
        <f t="shared" si="171"/>
        <v>0</v>
      </c>
      <c r="H746" s="36">
        <f t="shared" si="166"/>
        <v>3888</v>
      </c>
      <c r="I746" s="7">
        <f t="shared" si="171"/>
        <v>0</v>
      </c>
      <c r="J746" s="36">
        <f t="shared" si="164"/>
        <v>3888</v>
      </c>
      <c r="K746" s="7">
        <f t="shared" si="171"/>
        <v>0</v>
      </c>
      <c r="L746" s="36">
        <f t="shared" si="162"/>
        <v>3888</v>
      </c>
      <c r="M746" s="7">
        <f t="shared" si="171"/>
        <v>0</v>
      </c>
      <c r="N746" s="36">
        <f t="shared" si="163"/>
        <v>3888</v>
      </c>
      <c r="O746" s="7">
        <f t="shared" si="171"/>
        <v>0</v>
      </c>
      <c r="P746" s="36">
        <f t="shared" si="159"/>
        <v>3888</v>
      </c>
      <c r="Q746" s="7">
        <f t="shared" si="171"/>
        <v>0</v>
      </c>
      <c r="R746" s="36">
        <f t="shared" si="160"/>
        <v>3888</v>
      </c>
    </row>
    <row r="747" spans="1:18" ht="33">
      <c r="A747" s="62" t="str">
        <f ca="1">IF(ISERROR(MATCH(E747,Код_КВР,0)),"",INDIRECT(ADDRESS(MATCH(E747,Код_КВР,0)+1,2,,,"КВР")))</f>
        <v>Пособия, компенсации, меры социальной поддержки по публичным нормативным обязательствам</v>
      </c>
      <c r="B747" s="46" t="s">
        <v>14</v>
      </c>
      <c r="C747" s="8" t="s">
        <v>196</v>
      </c>
      <c r="D747" s="8" t="s">
        <v>223</v>
      </c>
      <c r="E747" s="115">
        <v>313</v>
      </c>
      <c r="F747" s="7">
        <f>'прил.5'!G1282</f>
        <v>3888</v>
      </c>
      <c r="G747" s="7">
        <f>'прил.5'!H1282</f>
        <v>0</v>
      </c>
      <c r="H747" s="36">
        <f t="shared" si="166"/>
        <v>3888</v>
      </c>
      <c r="I747" s="7">
        <f>'прил.5'!J1282</f>
        <v>0</v>
      </c>
      <c r="J747" s="36">
        <f t="shared" si="164"/>
        <v>3888</v>
      </c>
      <c r="K747" s="7">
        <f>'прил.5'!L1282</f>
        <v>0</v>
      </c>
      <c r="L747" s="36">
        <f t="shared" si="162"/>
        <v>3888</v>
      </c>
      <c r="M747" s="7">
        <f>'прил.5'!N1282</f>
        <v>0</v>
      </c>
      <c r="N747" s="36">
        <f t="shared" si="163"/>
        <v>3888</v>
      </c>
      <c r="O747" s="7">
        <f>'прил.5'!P1282</f>
        <v>0</v>
      </c>
      <c r="P747" s="36">
        <f t="shared" si="159"/>
        <v>3888</v>
      </c>
      <c r="Q747" s="7">
        <f>'прил.5'!R1282</f>
        <v>0</v>
      </c>
      <c r="R747" s="36">
        <f t="shared" si="160"/>
        <v>3888</v>
      </c>
    </row>
    <row r="748" spans="1:18" ht="36.75" customHeight="1">
      <c r="A748" s="62" t="str">
        <f ca="1">IF(ISERROR(MATCH(B748,Код_КЦСР,0)),"",INDIRECT(ADDRESS(MATCH(B748,Код_КЦСР,0)+1,2,,,"КЦСР")))</f>
        <v>Выплата вознаграждений лицам, имеющим знак «За особые заслуги перед городом Череповцом»</v>
      </c>
      <c r="B748" s="46" t="s">
        <v>15</v>
      </c>
      <c r="C748" s="8"/>
      <c r="D748" s="1"/>
      <c r="E748" s="115"/>
      <c r="F748" s="7">
        <f aca="true" t="shared" si="172" ref="F748:Q753">F749</f>
        <v>421.2</v>
      </c>
      <c r="G748" s="7">
        <f t="shared" si="172"/>
        <v>0</v>
      </c>
      <c r="H748" s="36">
        <f t="shared" si="166"/>
        <v>421.2</v>
      </c>
      <c r="I748" s="7">
        <f t="shared" si="172"/>
        <v>0</v>
      </c>
      <c r="J748" s="36">
        <f t="shared" si="164"/>
        <v>421.2</v>
      </c>
      <c r="K748" s="7">
        <f t="shared" si="172"/>
        <v>0</v>
      </c>
      <c r="L748" s="36">
        <f t="shared" si="162"/>
        <v>421.2</v>
      </c>
      <c r="M748" s="7">
        <f t="shared" si="172"/>
        <v>0</v>
      </c>
      <c r="N748" s="36">
        <f t="shared" si="163"/>
        <v>421.2</v>
      </c>
      <c r="O748" s="7">
        <f t="shared" si="172"/>
        <v>0</v>
      </c>
      <c r="P748" s="36">
        <f t="shared" si="159"/>
        <v>421.2</v>
      </c>
      <c r="Q748" s="7">
        <f t="shared" si="172"/>
        <v>0</v>
      </c>
      <c r="R748" s="36">
        <f t="shared" si="160"/>
        <v>421.2</v>
      </c>
    </row>
    <row r="749" spans="1:18" ht="69" customHeight="1">
      <c r="A749" s="62" t="str">
        <f ca="1">IF(ISERROR(MATCH(B749,Код_КЦСР,0)),"",INDIRECT(ADDRESS(MATCH(B749,Код_КЦСР,0)+1,2,,,"КЦСР")))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749" s="46" t="s">
        <v>17</v>
      </c>
      <c r="C749" s="8"/>
      <c r="D749" s="1"/>
      <c r="E749" s="115"/>
      <c r="F749" s="7">
        <f t="shared" si="172"/>
        <v>421.2</v>
      </c>
      <c r="G749" s="7">
        <f t="shared" si="172"/>
        <v>0</v>
      </c>
      <c r="H749" s="36">
        <f t="shared" si="166"/>
        <v>421.2</v>
      </c>
      <c r="I749" s="7">
        <f t="shared" si="172"/>
        <v>0</v>
      </c>
      <c r="J749" s="36">
        <f t="shared" si="164"/>
        <v>421.2</v>
      </c>
      <c r="K749" s="7">
        <f t="shared" si="172"/>
        <v>0</v>
      </c>
      <c r="L749" s="36">
        <f t="shared" si="162"/>
        <v>421.2</v>
      </c>
      <c r="M749" s="7">
        <f t="shared" si="172"/>
        <v>0</v>
      </c>
      <c r="N749" s="36">
        <f t="shared" si="163"/>
        <v>421.2</v>
      </c>
      <c r="O749" s="7">
        <f t="shared" si="172"/>
        <v>0</v>
      </c>
      <c r="P749" s="36">
        <f t="shared" si="159"/>
        <v>421.2</v>
      </c>
      <c r="Q749" s="7">
        <f t="shared" si="172"/>
        <v>0</v>
      </c>
      <c r="R749" s="36">
        <f t="shared" si="160"/>
        <v>421.2</v>
      </c>
    </row>
    <row r="750" spans="1:18" ht="12.75">
      <c r="A750" s="62" t="str">
        <f ca="1">IF(ISERROR(MATCH(C750,Код_Раздел,0)),"",INDIRECT(ADDRESS(MATCH(C750,Код_Раздел,0)+1,2,,,"Раздел")))</f>
        <v>Социальная политика</v>
      </c>
      <c r="B750" s="46" t="s">
        <v>17</v>
      </c>
      <c r="C750" s="8" t="s">
        <v>196</v>
      </c>
      <c r="D750" s="1"/>
      <c r="E750" s="115"/>
      <c r="F750" s="7">
        <f t="shared" si="172"/>
        <v>421.2</v>
      </c>
      <c r="G750" s="7">
        <f t="shared" si="172"/>
        <v>0</v>
      </c>
      <c r="H750" s="36">
        <f t="shared" si="166"/>
        <v>421.2</v>
      </c>
      <c r="I750" s="7">
        <f t="shared" si="172"/>
        <v>0</v>
      </c>
      <c r="J750" s="36">
        <f t="shared" si="164"/>
        <v>421.2</v>
      </c>
      <c r="K750" s="7">
        <f t="shared" si="172"/>
        <v>0</v>
      </c>
      <c r="L750" s="36">
        <f t="shared" si="162"/>
        <v>421.2</v>
      </c>
      <c r="M750" s="7">
        <f t="shared" si="172"/>
        <v>0</v>
      </c>
      <c r="N750" s="36">
        <f t="shared" si="163"/>
        <v>421.2</v>
      </c>
      <c r="O750" s="7">
        <f t="shared" si="172"/>
        <v>0</v>
      </c>
      <c r="P750" s="36">
        <f t="shared" si="159"/>
        <v>421.2</v>
      </c>
      <c r="Q750" s="7">
        <f t="shared" si="172"/>
        <v>0</v>
      </c>
      <c r="R750" s="36">
        <f t="shared" si="160"/>
        <v>421.2</v>
      </c>
    </row>
    <row r="751" spans="1:18" ht="12.75">
      <c r="A751" s="12" t="s">
        <v>187</v>
      </c>
      <c r="B751" s="46" t="s">
        <v>17</v>
      </c>
      <c r="C751" s="8" t="s">
        <v>196</v>
      </c>
      <c r="D751" s="8" t="s">
        <v>223</v>
      </c>
      <c r="E751" s="115"/>
      <c r="F751" s="7">
        <f t="shared" si="172"/>
        <v>421.2</v>
      </c>
      <c r="G751" s="7">
        <f t="shared" si="172"/>
        <v>0</v>
      </c>
      <c r="H751" s="36">
        <f t="shared" si="166"/>
        <v>421.2</v>
      </c>
      <c r="I751" s="7">
        <f t="shared" si="172"/>
        <v>0</v>
      </c>
      <c r="J751" s="36">
        <f t="shared" si="164"/>
        <v>421.2</v>
      </c>
      <c r="K751" s="7">
        <f t="shared" si="172"/>
        <v>0</v>
      </c>
      <c r="L751" s="36">
        <f t="shared" si="162"/>
        <v>421.2</v>
      </c>
      <c r="M751" s="7">
        <f t="shared" si="172"/>
        <v>0</v>
      </c>
      <c r="N751" s="36">
        <f t="shared" si="163"/>
        <v>421.2</v>
      </c>
      <c r="O751" s="7">
        <f t="shared" si="172"/>
        <v>0</v>
      </c>
      <c r="P751" s="36">
        <f t="shared" si="159"/>
        <v>421.2</v>
      </c>
      <c r="Q751" s="7">
        <f t="shared" si="172"/>
        <v>0</v>
      </c>
      <c r="R751" s="36">
        <f t="shared" si="160"/>
        <v>421.2</v>
      </c>
    </row>
    <row r="752" spans="1:18" ht="12.75">
      <c r="A752" s="62" t="str">
        <f ca="1">IF(ISERROR(MATCH(E752,Код_КВР,0)),"",INDIRECT(ADDRESS(MATCH(E752,Код_КВР,0)+1,2,,,"КВР")))</f>
        <v>Социальное обеспечение и иные выплаты населению</v>
      </c>
      <c r="B752" s="46" t="s">
        <v>17</v>
      </c>
      <c r="C752" s="8" t="s">
        <v>196</v>
      </c>
      <c r="D752" s="8" t="s">
        <v>223</v>
      </c>
      <c r="E752" s="115">
        <v>300</v>
      </c>
      <c r="F752" s="7">
        <f t="shared" si="172"/>
        <v>421.2</v>
      </c>
      <c r="G752" s="7">
        <f t="shared" si="172"/>
        <v>0</v>
      </c>
      <c r="H752" s="36">
        <f t="shared" si="166"/>
        <v>421.2</v>
      </c>
      <c r="I752" s="7">
        <f t="shared" si="172"/>
        <v>0</v>
      </c>
      <c r="J752" s="36">
        <f t="shared" si="164"/>
        <v>421.2</v>
      </c>
      <c r="K752" s="7">
        <f t="shared" si="172"/>
        <v>0</v>
      </c>
      <c r="L752" s="36">
        <f t="shared" si="162"/>
        <v>421.2</v>
      </c>
      <c r="M752" s="7">
        <f t="shared" si="172"/>
        <v>0</v>
      </c>
      <c r="N752" s="36">
        <f t="shared" si="163"/>
        <v>421.2</v>
      </c>
      <c r="O752" s="7">
        <f t="shared" si="172"/>
        <v>0</v>
      </c>
      <c r="P752" s="36">
        <f t="shared" si="159"/>
        <v>421.2</v>
      </c>
      <c r="Q752" s="7">
        <f t="shared" si="172"/>
        <v>0</v>
      </c>
      <c r="R752" s="36">
        <f t="shared" si="160"/>
        <v>421.2</v>
      </c>
    </row>
    <row r="753" spans="1:18" ht="12.75">
      <c r="A753" s="62" t="str">
        <f ca="1">IF(ISERROR(MATCH(E753,Код_КВР,0)),"",INDIRECT(ADDRESS(MATCH(E753,Код_КВР,0)+1,2,,,"КВР")))</f>
        <v>Публичные нормативные социальные выплаты гражданам</v>
      </c>
      <c r="B753" s="46" t="s">
        <v>17</v>
      </c>
      <c r="C753" s="8" t="s">
        <v>196</v>
      </c>
      <c r="D753" s="8" t="s">
        <v>223</v>
      </c>
      <c r="E753" s="115">
        <v>310</v>
      </c>
      <c r="F753" s="7">
        <f t="shared" si="172"/>
        <v>421.2</v>
      </c>
      <c r="G753" s="7">
        <f t="shared" si="172"/>
        <v>0</v>
      </c>
      <c r="H753" s="36">
        <f t="shared" si="166"/>
        <v>421.2</v>
      </c>
      <c r="I753" s="7">
        <f t="shared" si="172"/>
        <v>0</v>
      </c>
      <c r="J753" s="36">
        <f t="shared" si="164"/>
        <v>421.2</v>
      </c>
      <c r="K753" s="7">
        <f t="shared" si="172"/>
        <v>0</v>
      </c>
      <c r="L753" s="36">
        <f t="shared" si="162"/>
        <v>421.2</v>
      </c>
      <c r="M753" s="7">
        <f t="shared" si="172"/>
        <v>0</v>
      </c>
      <c r="N753" s="36">
        <f t="shared" si="163"/>
        <v>421.2</v>
      </c>
      <c r="O753" s="7">
        <f t="shared" si="172"/>
        <v>0</v>
      </c>
      <c r="P753" s="36">
        <f t="shared" si="159"/>
        <v>421.2</v>
      </c>
      <c r="Q753" s="7">
        <f t="shared" si="172"/>
        <v>0</v>
      </c>
      <c r="R753" s="36">
        <f t="shared" si="160"/>
        <v>421.2</v>
      </c>
    </row>
    <row r="754" spans="1:18" ht="33">
      <c r="A754" s="62" t="str">
        <f ca="1">IF(ISERROR(MATCH(E754,Код_КВР,0)),"",INDIRECT(ADDRESS(MATCH(E754,Код_КВР,0)+1,2,,,"КВР")))</f>
        <v>Пособия, компенсации, меры социальной поддержки по публичным нормативным обязательствам</v>
      </c>
      <c r="B754" s="46" t="s">
        <v>17</v>
      </c>
      <c r="C754" s="8" t="s">
        <v>196</v>
      </c>
      <c r="D754" s="8" t="s">
        <v>223</v>
      </c>
      <c r="E754" s="115">
        <v>313</v>
      </c>
      <c r="F754" s="7">
        <f>'прил.5'!G1287</f>
        <v>421.2</v>
      </c>
      <c r="G754" s="7">
        <f>'прил.5'!H1287</f>
        <v>0</v>
      </c>
      <c r="H754" s="36">
        <f t="shared" si="166"/>
        <v>421.2</v>
      </c>
      <c r="I754" s="7">
        <f>'прил.5'!J1287</f>
        <v>0</v>
      </c>
      <c r="J754" s="36">
        <f t="shared" si="164"/>
        <v>421.2</v>
      </c>
      <c r="K754" s="7">
        <f>'прил.5'!L1287</f>
        <v>0</v>
      </c>
      <c r="L754" s="36">
        <f t="shared" si="162"/>
        <v>421.2</v>
      </c>
      <c r="M754" s="7">
        <f>'прил.5'!N1287</f>
        <v>0</v>
      </c>
      <c r="N754" s="36">
        <f t="shared" si="163"/>
        <v>421.2</v>
      </c>
      <c r="O754" s="7">
        <f>'прил.5'!P1287</f>
        <v>0</v>
      </c>
      <c r="P754" s="36">
        <f aca="true" t="shared" si="173" ref="P754:P841">N754+O754</f>
        <v>421.2</v>
      </c>
      <c r="Q754" s="7">
        <f>'прил.5'!R1287</f>
        <v>0</v>
      </c>
      <c r="R754" s="36">
        <f aca="true" t="shared" si="174" ref="R754:R841">P754+Q754</f>
        <v>421.2</v>
      </c>
    </row>
    <row r="755" spans="1:18" ht="36" customHeight="1">
      <c r="A755" s="62" t="str">
        <f ca="1">IF(ISERROR(MATCH(B755,Код_КЦСР,0)),"",INDIRECT(ADDRESS(MATCH(B755,Код_КЦСР,0)+1,2,,,"КЦСР")))</f>
        <v>Выплата вознаграждений лицам, имеющим звание «Почетный гражданин города Череповца</v>
      </c>
      <c r="B755" s="46" t="s">
        <v>18</v>
      </c>
      <c r="C755" s="8"/>
      <c r="D755" s="1"/>
      <c r="E755" s="115"/>
      <c r="F755" s="7">
        <f aca="true" t="shared" si="175" ref="F755:Q760">F756</f>
        <v>449.5</v>
      </c>
      <c r="G755" s="7">
        <f t="shared" si="175"/>
        <v>0</v>
      </c>
      <c r="H755" s="36">
        <f t="shared" si="166"/>
        <v>449.5</v>
      </c>
      <c r="I755" s="7">
        <f t="shared" si="175"/>
        <v>0</v>
      </c>
      <c r="J755" s="36">
        <f t="shared" si="164"/>
        <v>449.5</v>
      </c>
      <c r="K755" s="7">
        <f t="shared" si="175"/>
        <v>0</v>
      </c>
      <c r="L755" s="36">
        <f t="shared" si="162"/>
        <v>449.5</v>
      </c>
      <c r="M755" s="7">
        <f t="shared" si="175"/>
        <v>0</v>
      </c>
      <c r="N755" s="36">
        <f t="shared" si="163"/>
        <v>449.5</v>
      </c>
      <c r="O755" s="7">
        <f t="shared" si="175"/>
        <v>0</v>
      </c>
      <c r="P755" s="36">
        <f t="shared" si="173"/>
        <v>449.5</v>
      </c>
      <c r="Q755" s="7">
        <f t="shared" si="175"/>
        <v>0</v>
      </c>
      <c r="R755" s="36">
        <f t="shared" si="174"/>
        <v>449.5</v>
      </c>
    </row>
    <row r="756" spans="1:18" ht="54" customHeight="1">
      <c r="A756" s="62" t="str">
        <f ca="1">IF(ISERROR(MATCH(B756,Код_КЦСР,0)),"",INDIRECT(ADDRESS(MATCH(B756,Код_КЦСР,0)+1,2,,,"КЦСР")))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756" s="46" t="s">
        <v>20</v>
      </c>
      <c r="C756" s="8"/>
      <c r="D756" s="1"/>
      <c r="E756" s="115"/>
      <c r="F756" s="7">
        <f t="shared" si="175"/>
        <v>449.5</v>
      </c>
      <c r="G756" s="7">
        <f t="shared" si="175"/>
        <v>0</v>
      </c>
      <c r="H756" s="36">
        <f t="shared" si="166"/>
        <v>449.5</v>
      </c>
      <c r="I756" s="7">
        <f t="shared" si="175"/>
        <v>0</v>
      </c>
      <c r="J756" s="36">
        <f t="shared" si="164"/>
        <v>449.5</v>
      </c>
      <c r="K756" s="7">
        <f t="shared" si="175"/>
        <v>0</v>
      </c>
      <c r="L756" s="36">
        <f t="shared" si="162"/>
        <v>449.5</v>
      </c>
      <c r="M756" s="7">
        <f t="shared" si="175"/>
        <v>0</v>
      </c>
      <c r="N756" s="36">
        <f t="shared" si="163"/>
        <v>449.5</v>
      </c>
      <c r="O756" s="7">
        <f t="shared" si="175"/>
        <v>0</v>
      </c>
      <c r="P756" s="36">
        <f t="shared" si="173"/>
        <v>449.5</v>
      </c>
      <c r="Q756" s="7">
        <f t="shared" si="175"/>
        <v>0</v>
      </c>
      <c r="R756" s="36">
        <f t="shared" si="174"/>
        <v>449.5</v>
      </c>
    </row>
    <row r="757" spans="1:18" ht="12.75">
      <c r="A757" s="62" t="str">
        <f ca="1">IF(ISERROR(MATCH(C757,Код_Раздел,0)),"",INDIRECT(ADDRESS(MATCH(C757,Код_Раздел,0)+1,2,,,"Раздел")))</f>
        <v>Социальная политика</v>
      </c>
      <c r="B757" s="46" t="s">
        <v>20</v>
      </c>
      <c r="C757" s="8" t="s">
        <v>196</v>
      </c>
      <c r="D757" s="1"/>
      <c r="E757" s="115"/>
      <c r="F757" s="7">
        <f t="shared" si="175"/>
        <v>449.5</v>
      </c>
      <c r="G757" s="7">
        <f t="shared" si="175"/>
        <v>0</v>
      </c>
      <c r="H757" s="36">
        <f t="shared" si="166"/>
        <v>449.5</v>
      </c>
      <c r="I757" s="7">
        <f t="shared" si="175"/>
        <v>0</v>
      </c>
      <c r="J757" s="36">
        <f t="shared" si="164"/>
        <v>449.5</v>
      </c>
      <c r="K757" s="7">
        <f t="shared" si="175"/>
        <v>0</v>
      </c>
      <c r="L757" s="36">
        <f t="shared" si="162"/>
        <v>449.5</v>
      </c>
      <c r="M757" s="7">
        <f t="shared" si="175"/>
        <v>0</v>
      </c>
      <c r="N757" s="36">
        <f t="shared" si="163"/>
        <v>449.5</v>
      </c>
      <c r="O757" s="7">
        <f t="shared" si="175"/>
        <v>0</v>
      </c>
      <c r="P757" s="36">
        <f t="shared" si="173"/>
        <v>449.5</v>
      </c>
      <c r="Q757" s="7">
        <f t="shared" si="175"/>
        <v>0</v>
      </c>
      <c r="R757" s="36">
        <f t="shared" si="174"/>
        <v>449.5</v>
      </c>
    </row>
    <row r="758" spans="1:18" ht="12.75">
      <c r="A758" s="12" t="s">
        <v>187</v>
      </c>
      <c r="B758" s="46" t="s">
        <v>20</v>
      </c>
      <c r="C758" s="8" t="s">
        <v>196</v>
      </c>
      <c r="D758" s="8" t="s">
        <v>223</v>
      </c>
      <c r="E758" s="115"/>
      <c r="F758" s="7">
        <f t="shared" si="175"/>
        <v>449.5</v>
      </c>
      <c r="G758" s="7">
        <f t="shared" si="175"/>
        <v>0</v>
      </c>
      <c r="H758" s="36">
        <f t="shared" si="166"/>
        <v>449.5</v>
      </c>
      <c r="I758" s="7">
        <f t="shared" si="175"/>
        <v>0</v>
      </c>
      <c r="J758" s="36">
        <f t="shared" si="164"/>
        <v>449.5</v>
      </c>
      <c r="K758" s="7">
        <f t="shared" si="175"/>
        <v>0</v>
      </c>
      <c r="L758" s="36">
        <f t="shared" si="162"/>
        <v>449.5</v>
      </c>
      <c r="M758" s="7">
        <f t="shared" si="175"/>
        <v>0</v>
      </c>
      <c r="N758" s="36">
        <f t="shared" si="163"/>
        <v>449.5</v>
      </c>
      <c r="O758" s="7">
        <f t="shared" si="175"/>
        <v>0</v>
      </c>
      <c r="P758" s="36">
        <f t="shared" si="173"/>
        <v>449.5</v>
      </c>
      <c r="Q758" s="7">
        <f t="shared" si="175"/>
        <v>0</v>
      </c>
      <c r="R758" s="36">
        <f t="shared" si="174"/>
        <v>449.5</v>
      </c>
    </row>
    <row r="759" spans="1:18" ht="12.75">
      <c r="A759" s="62" t="str">
        <f ca="1">IF(ISERROR(MATCH(E759,Код_КВР,0)),"",INDIRECT(ADDRESS(MATCH(E759,Код_КВР,0)+1,2,,,"КВР")))</f>
        <v>Социальное обеспечение и иные выплаты населению</v>
      </c>
      <c r="B759" s="46" t="s">
        <v>20</v>
      </c>
      <c r="C759" s="8" t="s">
        <v>196</v>
      </c>
      <c r="D759" s="8" t="s">
        <v>223</v>
      </c>
      <c r="E759" s="115">
        <v>300</v>
      </c>
      <c r="F759" s="7">
        <f t="shared" si="175"/>
        <v>449.5</v>
      </c>
      <c r="G759" s="7">
        <f t="shared" si="175"/>
        <v>0</v>
      </c>
      <c r="H759" s="36">
        <f t="shared" si="166"/>
        <v>449.5</v>
      </c>
      <c r="I759" s="7">
        <f t="shared" si="175"/>
        <v>0</v>
      </c>
      <c r="J759" s="36">
        <f t="shared" si="164"/>
        <v>449.5</v>
      </c>
      <c r="K759" s="7">
        <f t="shared" si="175"/>
        <v>0</v>
      </c>
      <c r="L759" s="36">
        <f t="shared" si="162"/>
        <v>449.5</v>
      </c>
      <c r="M759" s="7">
        <f t="shared" si="175"/>
        <v>0</v>
      </c>
      <c r="N759" s="36">
        <f t="shared" si="163"/>
        <v>449.5</v>
      </c>
      <c r="O759" s="7">
        <f t="shared" si="175"/>
        <v>0</v>
      </c>
      <c r="P759" s="36">
        <f t="shared" si="173"/>
        <v>449.5</v>
      </c>
      <c r="Q759" s="7">
        <f t="shared" si="175"/>
        <v>0</v>
      </c>
      <c r="R759" s="36">
        <f t="shared" si="174"/>
        <v>449.5</v>
      </c>
    </row>
    <row r="760" spans="1:18" ht="12.75">
      <c r="A760" s="62" t="str">
        <f ca="1">IF(ISERROR(MATCH(E760,Код_КВР,0)),"",INDIRECT(ADDRESS(MATCH(E760,Код_КВР,0)+1,2,,,"КВР")))</f>
        <v>Публичные нормативные социальные выплаты гражданам</v>
      </c>
      <c r="B760" s="46" t="s">
        <v>20</v>
      </c>
      <c r="C760" s="8" t="s">
        <v>196</v>
      </c>
      <c r="D760" s="8" t="s">
        <v>223</v>
      </c>
      <c r="E760" s="115">
        <v>310</v>
      </c>
      <c r="F760" s="7">
        <f t="shared" si="175"/>
        <v>449.5</v>
      </c>
      <c r="G760" s="7">
        <f t="shared" si="175"/>
        <v>0</v>
      </c>
      <c r="H760" s="36">
        <f t="shared" si="166"/>
        <v>449.5</v>
      </c>
      <c r="I760" s="7">
        <f t="shared" si="175"/>
        <v>0</v>
      </c>
      <c r="J760" s="36">
        <f t="shared" si="164"/>
        <v>449.5</v>
      </c>
      <c r="K760" s="7">
        <f t="shared" si="175"/>
        <v>0</v>
      </c>
      <c r="L760" s="36">
        <f t="shared" si="162"/>
        <v>449.5</v>
      </c>
      <c r="M760" s="7">
        <f t="shared" si="175"/>
        <v>0</v>
      </c>
      <c r="N760" s="36">
        <f t="shared" si="163"/>
        <v>449.5</v>
      </c>
      <c r="O760" s="7">
        <f t="shared" si="175"/>
        <v>0</v>
      </c>
      <c r="P760" s="36">
        <f t="shared" si="173"/>
        <v>449.5</v>
      </c>
      <c r="Q760" s="7">
        <f t="shared" si="175"/>
        <v>0</v>
      </c>
      <c r="R760" s="36">
        <f t="shared" si="174"/>
        <v>449.5</v>
      </c>
    </row>
    <row r="761" spans="1:18" ht="36" customHeight="1">
      <c r="A761" s="62" t="str">
        <f ca="1">IF(ISERROR(MATCH(E761,Код_КВР,0)),"",INDIRECT(ADDRESS(MATCH(E761,Код_КВР,0)+1,2,,,"КВР")))</f>
        <v>Пособия, компенсации, меры социальной поддержки по публичным нормативным обязательствам</v>
      </c>
      <c r="B761" s="46" t="s">
        <v>20</v>
      </c>
      <c r="C761" s="8" t="s">
        <v>196</v>
      </c>
      <c r="D761" s="8" t="s">
        <v>223</v>
      </c>
      <c r="E761" s="115">
        <v>313</v>
      </c>
      <c r="F761" s="7">
        <f>'прил.5'!G1292</f>
        <v>449.5</v>
      </c>
      <c r="G761" s="7">
        <f>'прил.5'!H1292</f>
        <v>0</v>
      </c>
      <c r="H761" s="36">
        <f t="shared" si="166"/>
        <v>449.5</v>
      </c>
      <c r="I761" s="7">
        <f>'прил.5'!J1292</f>
        <v>0</v>
      </c>
      <c r="J761" s="36">
        <f t="shared" si="164"/>
        <v>449.5</v>
      </c>
      <c r="K761" s="7">
        <f>'прил.5'!L1292</f>
        <v>0</v>
      </c>
      <c r="L761" s="36">
        <f t="shared" si="162"/>
        <v>449.5</v>
      </c>
      <c r="M761" s="7">
        <f>'прил.5'!N1292</f>
        <v>0</v>
      </c>
      <c r="N761" s="36">
        <f t="shared" si="163"/>
        <v>449.5</v>
      </c>
      <c r="O761" s="7">
        <f>'прил.5'!P1292</f>
        <v>0</v>
      </c>
      <c r="P761" s="36">
        <f t="shared" si="173"/>
        <v>449.5</v>
      </c>
      <c r="Q761" s="7">
        <f>'прил.5'!R1292</f>
        <v>0</v>
      </c>
      <c r="R761" s="36">
        <f t="shared" si="174"/>
        <v>449.5</v>
      </c>
    </row>
    <row r="762" spans="1:18" ht="157.5" customHeight="1">
      <c r="A762" s="62" t="str">
        <f ca="1">IF(ISERROR(MATCH(B762,Код_КЦСР,0)),"",INDIRECT(ADDRESS(MATCH(B762,Код_КЦСР,0)+1,2,,,"КЦСР")))</f>
        <v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v>
      </c>
      <c r="B762" s="46" t="s">
        <v>640</v>
      </c>
      <c r="C762" s="8"/>
      <c r="D762" s="1"/>
      <c r="E762" s="115"/>
      <c r="F762" s="7"/>
      <c r="G762" s="7"/>
      <c r="H762" s="36"/>
      <c r="I762" s="7"/>
      <c r="J762" s="36"/>
      <c r="K762" s="7"/>
      <c r="L762" s="36"/>
      <c r="M762" s="7">
        <f aca="true" t="shared" si="176" ref="M762:Q774">M763</f>
        <v>432</v>
      </c>
      <c r="N762" s="36">
        <f t="shared" si="163"/>
        <v>432</v>
      </c>
      <c r="O762" s="7">
        <f t="shared" si="176"/>
        <v>0</v>
      </c>
      <c r="P762" s="36">
        <f t="shared" si="173"/>
        <v>432</v>
      </c>
      <c r="Q762" s="7">
        <f t="shared" si="176"/>
        <v>0</v>
      </c>
      <c r="R762" s="36">
        <f t="shared" si="174"/>
        <v>432</v>
      </c>
    </row>
    <row r="763" spans="1:18" ht="163.5" customHeight="1">
      <c r="A763" s="62" t="str">
        <f ca="1">IF(ISERROR(MATCH(B763,Код_КЦСР,0)),"",INDIRECT(ADDRESS(MATCH(B763,Код_КЦСР,0)+1,2,,,"КЦСР")))</f>
        <v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v>
      </c>
      <c r="B763" s="48" t="s">
        <v>642</v>
      </c>
      <c r="C763" s="8"/>
      <c r="D763" s="1"/>
      <c r="E763" s="115"/>
      <c r="F763" s="7"/>
      <c r="G763" s="7"/>
      <c r="H763" s="36"/>
      <c r="I763" s="7"/>
      <c r="J763" s="36"/>
      <c r="K763" s="7"/>
      <c r="L763" s="36"/>
      <c r="M763" s="7">
        <f t="shared" si="176"/>
        <v>432</v>
      </c>
      <c r="N763" s="36">
        <f aca="true" t="shared" si="177" ref="N763:N769">L763+M763</f>
        <v>432</v>
      </c>
      <c r="O763" s="7">
        <f t="shared" si="176"/>
        <v>0</v>
      </c>
      <c r="P763" s="36">
        <f t="shared" si="173"/>
        <v>432</v>
      </c>
      <c r="Q763" s="7">
        <f t="shared" si="176"/>
        <v>0</v>
      </c>
      <c r="R763" s="36">
        <f t="shared" si="174"/>
        <v>432</v>
      </c>
    </row>
    <row r="764" spans="1:18" ht="24" customHeight="1">
      <c r="A764" s="62" t="str">
        <f ca="1">IF(ISERROR(MATCH(C764,Код_Раздел,0)),"",INDIRECT(ADDRESS(MATCH(C764,Код_Раздел,0)+1,2,,,"Раздел")))</f>
        <v>Социальная политика</v>
      </c>
      <c r="B764" s="48" t="s">
        <v>642</v>
      </c>
      <c r="C764" s="8" t="s">
        <v>196</v>
      </c>
      <c r="D764" s="1"/>
      <c r="E764" s="115"/>
      <c r="F764" s="7"/>
      <c r="G764" s="7"/>
      <c r="H764" s="36"/>
      <c r="I764" s="7"/>
      <c r="J764" s="36"/>
      <c r="K764" s="7"/>
      <c r="L764" s="36"/>
      <c r="M764" s="7">
        <f t="shared" si="176"/>
        <v>432</v>
      </c>
      <c r="N764" s="36">
        <f t="shared" si="177"/>
        <v>432</v>
      </c>
      <c r="O764" s="7">
        <f t="shared" si="176"/>
        <v>0</v>
      </c>
      <c r="P764" s="36">
        <f t="shared" si="173"/>
        <v>432</v>
      </c>
      <c r="Q764" s="7">
        <f t="shared" si="176"/>
        <v>0</v>
      </c>
      <c r="R764" s="36">
        <f t="shared" si="174"/>
        <v>432</v>
      </c>
    </row>
    <row r="765" spans="1:18" ht="21.95" customHeight="1">
      <c r="A765" s="12" t="s">
        <v>187</v>
      </c>
      <c r="B765" s="48" t="s">
        <v>642</v>
      </c>
      <c r="C765" s="8" t="s">
        <v>196</v>
      </c>
      <c r="D765" s="8" t="s">
        <v>223</v>
      </c>
      <c r="E765" s="115"/>
      <c r="F765" s="7"/>
      <c r="G765" s="7"/>
      <c r="H765" s="36"/>
      <c r="I765" s="7"/>
      <c r="J765" s="36"/>
      <c r="K765" s="7"/>
      <c r="L765" s="36"/>
      <c r="M765" s="7">
        <f t="shared" si="176"/>
        <v>432</v>
      </c>
      <c r="N765" s="36">
        <f t="shared" si="177"/>
        <v>432</v>
      </c>
      <c r="O765" s="7">
        <f t="shared" si="176"/>
        <v>0</v>
      </c>
      <c r="P765" s="36">
        <f t="shared" si="173"/>
        <v>432</v>
      </c>
      <c r="Q765" s="7">
        <f t="shared" si="176"/>
        <v>0</v>
      </c>
      <c r="R765" s="36">
        <f t="shared" si="174"/>
        <v>432</v>
      </c>
    </row>
    <row r="766" spans="1:18" ht="21.95" customHeight="1">
      <c r="A766" s="62" t="str">
        <f ca="1">IF(ISERROR(MATCH(E766,Код_КВР,0)),"",INDIRECT(ADDRESS(MATCH(E766,Код_КВР,0)+1,2,,,"КВР")))</f>
        <v>Социальное обеспечение и иные выплаты населению</v>
      </c>
      <c r="B766" s="48" t="s">
        <v>642</v>
      </c>
      <c r="C766" s="8" t="s">
        <v>196</v>
      </c>
      <c r="D766" s="8" t="s">
        <v>223</v>
      </c>
      <c r="E766" s="115">
        <v>300</v>
      </c>
      <c r="F766" s="7"/>
      <c r="G766" s="7"/>
      <c r="H766" s="36"/>
      <c r="I766" s="7"/>
      <c r="J766" s="36"/>
      <c r="K766" s="7"/>
      <c r="L766" s="36"/>
      <c r="M766" s="7">
        <f t="shared" si="176"/>
        <v>432</v>
      </c>
      <c r="N766" s="36">
        <f t="shared" si="177"/>
        <v>432</v>
      </c>
      <c r="O766" s="7">
        <f t="shared" si="176"/>
        <v>0</v>
      </c>
      <c r="P766" s="36">
        <f t="shared" si="173"/>
        <v>432</v>
      </c>
      <c r="Q766" s="7">
        <f t="shared" si="176"/>
        <v>0</v>
      </c>
      <c r="R766" s="36">
        <f t="shared" si="174"/>
        <v>432</v>
      </c>
    </row>
    <row r="767" spans="1:18" ht="24" customHeight="1">
      <c r="A767" s="62" t="str">
        <f ca="1">IF(ISERROR(MATCH(E767,Код_КВР,0)),"",INDIRECT(ADDRESS(MATCH(E767,Код_КВР,0)+1,2,,,"КВР")))</f>
        <v>Публичные нормативные социальные выплаты гражданам</v>
      </c>
      <c r="B767" s="48" t="s">
        <v>642</v>
      </c>
      <c r="C767" s="8" t="s">
        <v>196</v>
      </c>
      <c r="D767" s="8" t="s">
        <v>223</v>
      </c>
      <c r="E767" s="115">
        <v>310</v>
      </c>
      <c r="F767" s="7"/>
      <c r="G767" s="7"/>
      <c r="H767" s="36"/>
      <c r="I767" s="7"/>
      <c r="J767" s="36"/>
      <c r="K767" s="7"/>
      <c r="L767" s="36"/>
      <c r="M767" s="7">
        <f t="shared" si="176"/>
        <v>432</v>
      </c>
      <c r="N767" s="36">
        <f t="shared" si="177"/>
        <v>432</v>
      </c>
      <c r="O767" s="7">
        <f t="shared" si="176"/>
        <v>0</v>
      </c>
      <c r="P767" s="36">
        <f t="shared" si="173"/>
        <v>432</v>
      </c>
      <c r="Q767" s="7">
        <f t="shared" si="176"/>
        <v>0</v>
      </c>
      <c r="R767" s="36">
        <f t="shared" si="174"/>
        <v>432</v>
      </c>
    </row>
    <row r="768" spans="1:18" ht="36" customHeight="1">
      <c r="A768" s="62" t="str">
        <f ca="1">IF(ISERROR(MATCH(E768,Код_КВР,0)),"",INDIRECT(ADDRESS(MATCH(E768,Код_КВР,0)+1,2,,,"КВР")))</f>
        <v>Пособия, компенсации, меры социальной поддержки по публичным нормативным обязательствам</v>
      </c>
      <c r="B768" s="48" t="s">
        <v>642</v>
      </c>
      <c r="C768" s="8" t="s">
        <v>196</v>
      </c>
      <c r="D768" s="8" t="s">
        <v>223</v>
      </c>
      <c r="E768" s="115">
        <v>313</v>
      </c>
      <c r="F768" s="7"/>
      <c r="G768" s="7"/>
      <c r="H768" s="36"/>
      <c r="I768" s="7"/>
      <c r="J768" s="36"/>
      <c r="K768" s="7"/>
      <c r="L768" s="36"/>
      <c r="M768" s="7">
        <f>'прил.5'!N1297</f>
        <v>432</v>
      </c>
      <c r="N768" s="36">
        <f t="shared" si="177"/>
        <v>432</v>
      </c>
      <c r="O768" s="7">
        <f>'прил.5'!P1297</f>
        <v>0</v>
      </c>
      <c r="P768" s="36">
        <f t="shared" si="173"/>
        <v>432</v>
      </c>
      <c r="Q768" s="7">
        <f>'прил.5'!R1297</f>
        <v>0</v>
      </c>
      <c r="R768" s="36">
        <f t="shared" si="174"/>
        <v>432</v>
      </c>
    </row>
    <row r="769" spans="1:18" ht="36" customHeight="1">
      <c r="A769" s="62" t="str">
        <f ca="1">IF(ISERROR(MATCH(B769,Код_КЦСР,0)),"",INDIRECT(ADDRESS(MATCH(B769,Код_КЦСР,0)+1,2,,,"КЦСР")))</f>
        <v>Выплата единовременной социальной помощи в связи с рождением троих детей многодетным семьям</v>
      </c>
      <c r="B769" s="46" t="s">
        <v>681</v>
      </c>
      <c r="C769" s="8"/>
      <c r="D769" s="1"/>
      <c r="E769" s="139"/>
      <c r="F769" s="7"/>
      <c r="G769" s="7"/>
      <c r="H769" s="36"/>
      <c r="I769" s="7"/>
      <c r="J769" s="36"/>
      <c r="K769" s="7"/>
      <c r="L769" s="36"/>
      <c r="M769" s="7">
        <f t="shared" si="176"/>
        <v>0</v>
      </c>
      <c r="N769" s="36">
        <f t="shared" si="177"/>
        <v>0</v>
      </c>
      <c r="O769" s="7">
        <f t="shared" si="176"/>
        <v>0</v>
      </c>
      <c r="P769" s="36">
        <f aca="true" t="shared" si="178" ref="P769:P775">N769+O769</f>
        <v>0</v>
      </c>
      <c r="Q769" s="7">
        <f>Q770+Q776</f>
        <v>1000</v>
      </c>
      <c r="R769" s="36">
        <f aca="true" t="shared" si="179" ref="R769:R781">P769+Q769</f>
        <v>1000</v>
      </c>
    </row>
    <row r="770" spans="1:18" ht="36" customHeight="1">
      <c r="A770" s="62" t="str">
        <f ca="1">IF(ISERROR(MATCH(B770,Код_КЦСР,0)),"",INDIRECT(ADDRESS(MATCH(B770,Код_КЦСР,0)+1,2,,,"КЦСР")))</f>
        <v>Выплата единовременной социальной помощи Степановой К.Н. в связи с рождением троих детей в соответствии с решением Череповецкой городской Думы</v>
      </c>
      <c r="B770" s="48" t="s">
        <v>680</v>
      </c>
      <c r="C770" s="8"/>
      <c r="D770" s="1"/>
      <c r="E770" s="139"/>
      <c r="F770" s="7"/>
      <c r="G770" s="7"/>
      <c r="H770" s="36"/>
      <c r="I770" s="7"/>
      <c r="J770" s="36"/>
      <c r="K770" s="7"/>
      <c r="L770" s="36"/>
      <c r="M770" s="7">
        <f t="shared" si="176"/>
        <v>0</v>
      </c>
      <c r="N770" s="36">
        <f aca="true" t="shared" si="180" ref="N770:N775">L770+M770</f>
        <v>0</v>
      </c>
      <c r="O770" s="7">
        <f t="shared" si="176"/>
        <v>0</v>
      </c>
      <c r="P770" s="36">
        <f t="shared" si="178"/>
        <v>0</v>
      </c>
      <c r="Q770" s="7">
        <f t="shared" si="176"/>
        <v>500</v>
      </c>
      <c r="R770" s="36">
        <f t="shared" si="179"/>
        <v>500</v>
      </c>
    </row>
    <row r="771" spans="1:18" ht="21" customHeight="1">
      <c r="A771" s="62" t="str">
        <f ca="1">IF(ISERROR(MATCH(C771,Код_Раздел,0)),"",INDIRECT(ADDRESS(MATCH(C771,Код_Раздел,0)+1,2,,,"Раздел")))</f>
        <v>Социальная политика</v>
      </c>
      <c r="B771" s="48" t="s">
        <v>680</v>
      </c>
      <c r="C771" s="8" t="s">
        <v>196</v>
      </c>
      <c r="D771" s="1"/>
      <c r="E771" s="139"/>
      <c r="F771" s="7"/>
      <c r="G771" s="7"/>
      <c r="H771" s="36"/>
      <c r="I771" s="7"/>
      <c r="J771" s="36"/>
      <c r="K771" s="7"/>
      <c r="L771" s="36"/>
      <c r="M771" s="7">
        <f t="shared" si="176"/>
        <v>0</v>
      </c>
      <c r="N771" s="36">
        <f t="shared" si="180"/>
        <v>0</v>
      </c>
      <c r="O771" s="7">
        <f t="shared" si="176"/>
        <v>0</v>
      </c>
      <c r="P771" s="36">
        <f t="shared" si="178"/>
        <v>0</v>
      </c>
      <c r="Q771" s="7">
        <f t="shared" si="176"/>
        <v>500</v>
      </c>
      <c r="R771" s="36">
        <f t="shared" si="179"/>
        <v>500</v>
      </c>
    </row>
    <row r="772" spans="1:18" ht="22.5" customHeight="1">
      <c r="A772" s="12" t="s">
        <v>187</v>
      </c>
      <c r="B772" s="48" t="s">
        <v>680</v>
      </c>
      <c r="C772" s="8" t="s">
        <v>196</v>
      </c>
      <c r="D772" s="8" t="s">
        <v>223</v>
      </c>
      <c r="E772" s="139"/>
      <c r="F772" s="7"/>
      <c r="G772" s="7"/>
      <c r="H772" s="36"/>
      <c r="I772" s="7"/>
      <c r="J772" s="36"/>
      <c r="K772" s="7"/>
      <c r="L772" s="36"/>
      <c r="M772" s="7">
        <f t="shared" si="176"/>
        <v>0</v>
      </c>
      <c r="N772" s="36">
        <f t="shared" si="180"/>
        <v>0</v>
      </c>
      <c r="O772" s="7">
        <f t="shared" si="176"/>
        <v>0</v>
      </c>
      <c r="P772" s="36">
        <f t="shared" si="178"/>
        <v>0</v>
      </c>
      <c r="Q772" s="7">
        <f t="shared" si="176"/>
        <v>500</v>
      </c>
      <c r="R772" s="36">
        <f t="shared" si="179"/>
        <v>500</v>
      </c>
    </row>
    <row r="773" spans="1:18" ht="17.25" customHeight="1">
      <c r="A773" s="62" t="str">
        <f ca="1">IF(ISERROR(MATCH(E773,Код_КВР,0)),"",INDIRECT(ADDRESS(MATCH(E773,Код_КВР,0)+1,2,,,"КВР")))</f>
        <v>Социальное обеспечение и иные выплаты населению</v>
      </c>
      <c r="B773" s="48" t="s">
        <v>680</v>
      </c>
      <c r="C773" s="8" t="s">
        <v>196</v>
      </c>
      <c r="D773" s="8" t="s">
        <v>223</v>
      </c>
      <c r="E773" s="139">
        <v>300</v>
      </c>
      <c r="F773" s="7"/>
      <c r="G773" s="7"/>
      <c r="H773" s="36"/>
      <c r="I773" s="7"/>
      <c r="J773" s="36"/>
      <c r="K773" s="7"/>
      <c r="L773" s="36"/>
      <c r="M773" s="7">
        <f t="shared" si="176"/>
        <v>0</v>
      </c>
      <c r="N773" s="36">
        <f t="shared" si="180"/>
        <v>0</v>
      </c>
      <c r="O773" s="7">
        <f t="shared" si="176"/>
        <v>0</v>
      </c>
      <c r="P773" s="36">
        <f t="shared" si="178"/>
        <v>0</v>
      </c>
      <c r="Q773" s="7">
        <f t="shared" si="176"/>
        <v>500</v>
      </c>
      <c r="R773" s="36">
        <f t="shared" si="179"/>
        <v>500</v>
      </c>
    </row>
    <row r="774" spans="1:18" ht="24" customHeight="1">
      <c r="A774" s="62" t="str">
        <f ca="1">IF(ISERROR(MATCH(E774,Код_КВР,0)),"",INDIRECT(ADDRESS(MATCH(E774,Код_КВР,0)+1,2,,,"КВР")))</f>
        <v>Публичные нормативные социальные выплаты гражданам</v>
      </c>
      <c r="B774" s="48" t="s">
        <v>680</v>
      </c>
      <c r="C774" s="8" t="s">
        <v>196</v>
      </c>
      <c r="D774" s="8" t="s">
        <v>223</v>
      </c>
      <c r="E774" s="139">
        <v>310</v>
      </c>
      <c r="F774" s="7"/>
      <c r="G774" s="7"/>
      <c r="H774" s="36"/>
      <c r="I774" s="7"/>
      <c r="J774" s="36"/>
      <c r="K774" s="7"/>
      <c r="L774" s="36"/>
      <c r="M774" s="7">
        <f t="shared" si="176"/>
        <v>0</v>
      </c>
      <c r="N774" s="36">
        <f t="shared" si="180"/>
        <v>0</v>
      </c>
      <c r="O774" s="7">
        <f t="shared" si="176"/>
        <v>0</v>
      </c>
      <c r="P774" s="36">
        <f t="shared" si="178"/>
        <v>0</v>
      </c>
      <c r="Q774" s="7">
        <f t="shared" si="176"/>
        <v>500</v>
      </c>
      <c r="R774" s="36">
        <f t="shared" si="179"/>
        <v>500</v>
      </c>
    </row>
    <row r="775" spans="1:18" ht="36" customHeight="1">
      <c r="A775" s="62" t="str">
        <f ca="1">IF(ISERROR(MATCH(E775,Код_КВР,0)),"",INDIRECT(ADDRESS(MATCH(E775,Код_КВР,0)+1,2,,,"КВР")))</f>
        <v>Пособия, компенсации, меры социальной поддержки по публичным нормативным обязательствам</v>
      </c>
      <c r="B775" s="48" t="s">
        <v>680</v>
      </c>
      <c r="C775" s="8" t="s">
        <v>196</v>
      </c>
      <c r="D775" s="8" t="s">
        <v>223</v>
      </c>
      <c r="E775" s="139">
        <v>313</v>
      </c>
      <c r="F775" s="7"/>
      <c r="G775" s="7"/>
      <c r="H775" s="36"/>
      <c r="I775" s="7"/>
      <c r="J775" s="36"/>
      <c r="K775" s="7"/>
      <c r="L775" s="36"/>
      <c r="M775" s="7">
        <f>'прил.5'!N1304</f>
        <v>0</v>
      </c>
      <c r="N775" s="36">
        <f t="shared" si="180"/>
        <v>0</v>
      </c>
      <c r="O775" s="7">
        <f>'прил.5'!P1304</f>
        <v>0</v>
      </c>
      <c r="P775" s="36">
        <f t="shared" si="178"/>
        <v>0</v>
      </c>
      <c r="Q775" s="7">
        <f>'прил.5'!R1304</f>
        <v>500</v>
      </c>
      <c r="R775" s="36">
        <f t="shared" si="179"/>
        <v>500</v>
      </c>
    </row>
    <row r="776" spans="1:18" ht="36" customHeight="1">
      <c r="A776" s="62" t="str">
        <f ca="1">IF(ISERROR(MATCH(B776,Код_КЦСР,0)),"",INDIRECT(ADDRESS(MATCH(B776,Код_КЦСР,0)+1,2,,,"КЦСР")))</f>
        <v>Выплата единовременной социальной помощи Бовыкиной Я.А. в связи с рождением троих детей в соответствии с решением Череповецкой городской Думы</v>
      </c>
      <c r="B776" s="48" t="s">
        <v>682</v>
      </c>
      <c r="C776" s="8"/>
      <c r="D776" s="1"/>
      <c r="E776" s="139"/>
      <c r="F776" s="7"/>
      <c r="G776" s="7"/>
      <c r="H776" s="36"/>
      <c r="I776" s="7"/>
      <c r="J776" s="36"/>
      <c r="K776" s="7"/>
      <c r="L776" s="36"/>
      <c r="M776" s="7"/>
      <c r="N776" s="36"/>
      <c r="O776" s="7"/>
      <c r="P776" s="36"/>
      <c r="Q776" s="7">
        <f>Q777</f>
        <v>500</v>
      </c>
      <c r="R776" s="36">
        <f t="shared" si="179"/>
        <v>500</v>
      </c>
    </row>
    <row r="777" spans="1:18" ht="22.5" customHeight="1">
      <c r="A777" s="62" t="str">
        <f ca="1">IF(ISERROR(MATCH(C777,Код_Раздел,0)),"",INDIRECT(ADDRESS(MATCH(C777,Код_Раздел,0)+1,2,,,"Раздел")))</f>
        <v>Социальная политика</v>
      </c>
      <c r="B777" s="48" t="s">
        <v>682</v>
      </c>
      <c r="C777" s="8" t="s">
        <v>196</v>
      </c>
      <c r="D777" s="1"/>
      <c r="E777" s="139"/>
      <c r="F777" s="7"/>
      <c r="G777" s="7"/>
      <c r="H777" s="36"/>
      <c r="I777" s="7"/>
      <c r="J777" s="36"/>
      <c r="K777" s="7"/>
      <c r="L777" s="36"/>
      <c r="M777" s="7"/>
      <c r="N777" s="36"/>
      <c r="O777" s="7"/>
      <c r="P777" s="36"/>
      <c r="Q777" s="7">
        <f>Q778</f>
        <v>500</v>
      </c>
      <c r="R777" s="36">
        <f t="shared" si="179"/>
        <v>500</v>
      </c>
    </row>
    <row r="778" spans="1:18" ht="20.25" customHeight="1">
      <c r="A778" s="12" t="s">
        <v>187</v>
      </c>
      <c r="B778" s="48" t="s">
        <v>682</v>
      </c>
      <c r="C778" s="8" t="s">
        <v>196</v>
      </c>
      <c r="D778" s="8" t="s">
        <v>223</v>
      </c>
      <c r="E778" s="139"/>
      <c r="F778" s="7"/>
      <c r="G778" s="7"/>
      <c r="H778" s="36"/>
      <c r="I778" s="7"/>
      <c r="J778" s="36"/>
      <c r="K778" s="7"/>
      <c r="L778" s="36"/>
      <c r="M778" s="7"/>
      <c r="N778" s="36"/>
      <c r="O778" s="7"/>
      <c r="P778" s="36"/>
      <c r="Q778" s="7">
        <f>Q779</f>
        <v>500</v>
      </c>
      <c r="R778" s="36">
        <f t="shared" si="179"/>
        <v>500</v>
      </c>
    </row>
    <row r="779" spans="1:18" ht="24.75" customHeight="1">
      <c r="A779" s="62" t="str">
        <f ca="1">IF(ISERROR(MATCH(E779,Код_КВР,0)),"",INDIRECT(ADDRESS(MATCH(E779,Код_КВР,0)+1,2,,,"КВР")))</f>
        <v>Социальное обеспечение и иные выплаты населению</v>
      </c>
      <c r="B779" s="48" t="s">
        <v>682</v>
      </c>
      <c r="C779" s="8" t="s">
        <v>196</v>
      </c>
      <c r="D779" s="8" t="s">
        <v>223</v>
      </c>
      <c r="E779" s="139">
        <v>300</v>
      </c>
      <c r="F779" s="7"/>
      <c r="G779" s="7"/>
      <c r="H779" s="36"/>
      <c r="I779" s="7"/>
      <c r="J779" s="36"/>
      <c r="K779" s="7"/>
      <c r="L779" s="36"/>
      <c r="M779" s="7"/>
      <c r="N779" s="36"/>
      <c r="O779" s="7"/>
      <c r="P779" s="36"/>
      <c r="Q779" s="7">
        <f>Q780</f>
        <v>500</v>
      </c>
      <c r="R779" s="36">
        <f t="shared" si="179"/>
        <v>500</v>
      </c>
    </row>
    <row r="780" spans="1:18" ht="27.75" customHeight="1">
      <c r="A780" s="62" t="str">
        <f ca="1">IF(ISERROR(MATCH(E780,Код_КВР,0)),"",INDIRECT(ADDRESS(MATCH(E780,Код_КВР,0)+1,2,,,"КВР")))</f>
        <v>Публичные нормативные социальные выплаты гражданам</v>
      </c>
      <c r="B780" s="48" t="s">
        <v>682</v>
      </c>
      <c r="C780" s="8" t="s">
        <v>196</v>
      </c>
      <c r="D780" s="8" t="s">
        <v>223</v>
      </c>
      <c r="E780" s="139">
        <v>310</v>
      </c>
      <c r="F780" s="7"/>
      <c r="G780" s="7"/>
      <c r="H780" s="36"/>
      <c r="I780" s="7"/>
      <c r="J780" s="36"/>
      <c r="K780" s="7"/>
      <c r="L780" s="36"/>
      <c r="M780" s="7"/>
      <c r="N780" s="36"/>
      <c r="O780" s="7"/>
      <c r="P780" s="36"/>
      <c r="Q780" s="7">
        <f>Q781</f>
        <v>500</v>
      </c>
      <c r="R780" s="36">
        <f t="shared" si="179"/>
        <v>500</v>
      </c>
    </row>
    <row r="781" spans="1:18" ht="36" customHeight="1">
      <c r="A781" s="62" t="str">
        <f ca="1">IF(ISERROR(MATCH(E781,Код_КВР,0)),"",INDIRECT(ADDRESS(MATCH(E781,Код_КВР,0)+1,2,,,"КВР")))</f>
        <v>Пособия, компенсации, меры социальной поддержки по публичным нормативным обязательствам</v>
      </c>
      <c r="B781" s="48" t="s">
        <v>682</v>
      </c>
      <c r="C781" s="8" t="s">
        <v>196</v>
      </c>
      <c r="D781" s="8" t="s">
        <v>223</v>
      </c>
      <c r="E781" s="139">
        <v>313</v>
      </c>
      <c r="F781" s="7"/>
      <c r="G781" s="7"/>
      <c r="H781" s="36"/>
      <c r="I781" s="7"/>
      <c r="J781" s="36"/>
      <c r="K781" s="7"/>
      <c r="L781" s="36"/>
      <c r="M781" s="7"/>
      <c r="N781" s="36"/>
      <c r="O781" s="7"/>
      <c r="P781" s="36"/>
      <c r="Q781" s="7">
        <f>'прил.5'!R1306</f>
        <v>500</v>
      </c>
      <c r="R781" s="36">
        <f t="shared" si="179"/>
        <v>500</v>
      </c>
    </row>
    <row r="782" spans="1:18" ht="33">
      <c r="A782" s="62" t="str">
        <f ca="1">IF(ISERROR(MATCH(B782,Код_КЦСР,0)),"",INDIRECT(ADDRESS(MATCH(B782,Код_КЦСР,0)+1,2,,,"КЦСР")))</f>
        <v>Социальная поддержка пенсионеров на условиях договора пожизненного содержания с иждивением</v>
      </c>
      <c r="B782" s="46" t="s">
        <v>21</v>
      </c>
      <c r="C782" s="8"/>
      <c r="D782" s="1"/>
      <c r="E782" s="115"/>
      <c r="F782" s="7">
        <f aca="true" t="shared" si="181" ref="F782:Q785">F783</f>
        <v>14888.699999999999</v>
      </c>
      <c r="G782" s="7">
        <f t="shared" si="181"/>
        <v>0</v>
      </c>
      <c r="H782" s="36">
        <f t="shared" si="166"/>
        <v>14888.699999999999</v>
      </c>
      <c r="I782" s="7">
        <f t="shared" si="181"/>
        <v>0</v>
      </c>
      <c r="J782" s="36">
        <f t="shared" si="164"/>
        <v>14888.699999999999</v>
      </c>
      <c r="K782" s="7">
        <f t="shared" si="181"/>
        <v>0</v>
      </c>
      <c r="L782" s="36">
        <f aca="true" t="shared" si="182" ref="L782:L856">J782+K782</f>
        <v>14888.699999999999</v>
      </c>
      <c r="M782" s="7">
        <f t="shared" si="181"/>
        <v>0</v>
      </c>
      <c r="N782" s="36">
        <f aca="true" t="shared" si="183" ref="N782:N856">L782+M782</f>
        <v>14888.699999999999</v>
      </c>
      <c r="O782" s="7">
        <f t="shared" si="181"/>
        <v>0</v>
      </c>
      <c r="P782" s="36">
        <f t="shared" si="173"/>
        <v>14888.699999999999</v>
      </c>
      <c r="Q782" s="7">
        <f t="shared" si="181"/>
        <v>0</v>
      </c>
      <c r="R782" s="36">
        <f t="shared" si="174"/>
        <v>14888.699999999999</v>
      </c>
    </row>
    <row r="783" spans="1:18" ht="12.75">
      <c r="A783" s="62" t="str">
        <f ca="1">IF(ISERROR(MATCH(C783,Код_Раздел,0)),"",INDIRECT(ADDRESS(MATCH(C783,Код_Раздел,0)+1,2,,,"Раздел")))</f>
        <v>Социальная политика</v>
      </c>
      <c r="B783" s="46" t="s">
        <v>21</v>
      </c>
      <c r="C783" s="8" t="s">
        <v>196</v>
      </c>
      <c r="D783" s="1"/>
      <c r="E783" s="115"/>
      <c r="F783" s="7">
        <f t="shared" si="181"/>
        <v>14888.699999999999</v>
      </c>
      <c r="G783" s="7">
        <f t="shared" si="181"/>
        <v>0</v>
      </c>
      <c r="H783" s="36">
        <f t="shared" si="166"/>
        <v>14888.699999999999</v>
      </c>
      <c r="I783" s="7">
        <f t="shared" si="181"/>
        <v>0</v>
      </c>
      <c r="J783" s="36">
        <f t="shared" si="164"/>
        <v>14888.699999999999</v>
      </c>
      <c r="K783" s="7">
        <f t="shared" si="181"/>
        <v>0</v>
      </c>
      <c r="L783" s="36">
        <f t="shared" si="182"/>
        <v>14888.699999999999</v>
      </c>
      <c r="M783" s="7">
        <f t="shared" si="181"/>
        <v>0</v>
      </c>
      <c r="N783" s="36">
        <f t="shared" si="183"/>
        <v>14888.699999999999</v>
      </c>
      <c r="O783" s="7">
        <f t="shared" si="181"/>
        <v>0</v>
      </c>
      <c r="P783" s="36">
        <f t="shared" si="173"/>
        <v>14888.699999999999</v>
      </c>
      <c r="Q783" s="7">
        <f t="shared" si="181"/>
        <v>0</v>
      </c>
      <c r="R783" s="36">
        <f t="shared" si="174"/>
        <v>14888.699999999999</v>
      </c>
    </row>
    <row r="784" spans="1:18" ht="12.75">
      <c r="A784" s="12" t="s">
        <v>187</v>
      </c>
      <c r="B784" s="46" t="s">
        <v>21</v>
      </c>
      <c r="C784" s="8" t="s">
        <v>196</v>
      </c>
      <c r="D784" s="8" t="s">
        <v>223</v>
      </c>
      <c r="E784" s="115"/>
      <c r="F784" s="7">
        <f t="shared" si="181"/>
        <v>14888.699999999999</v>
      </c>
      <c r="G784" s="7">
        <f t="shared" si="181"/>
        <v>0</v>
      </c>
      <c r="H784" s="36">
        <f t="shared" si="166"/>
        <v>14888.699999999999</v>
      </c>
      <c r="I784" s="7">
        <f t="shared" si="181"/>
        <v>0</v>
      </c>
      <c r="J784" s="36">
        <f t="shared" si="164"/>
        <v>14888.699999999999</v>
      </c>
      <c r="K784" s="7">
        <f t="shared" si="181"/>
        <v>0</v>
      </c>
      <c r="L784" s="36">
        <f t="shared" si="182"/>
        <v>14888.699999999999</v>
      </c>
      <c r="M784" s="7">
        <f t="shared" si="181"/>
        <v>0</v>
      </c>
      <c r="N784" s="36">
        <f t="shared" si="183"/>
        <v>14888.699999999999</v>
      </c>
      <c r="O784" s="7">
        <f t="shared" si="181"/>
        <v>0</v>
      </c>
      <c r="P784" s="36">
        <f t="shared" si="173"/>
        <v>14888.699999999999</v>
      </c>
      <c r="Q784" s="7">
        <f t="shared" si="181"/>
        <v>0</v>
      </c>
      <c r="R784" s="36">
        <f t="shared" si="174"/>
        <v>14888.699999999999</v>
      </c>
    </row>
    <row r="785" spans="1:18" ht="12.75">
      <c r="A785" s="62" t="str">
        <f ca="1">IF(ISERROR(MATCH(E785,Код_КВР,0)),"",INDIRECT(ADDRESS(MATCH(E785,Код_КВР,0)+1,2,,,"КВР")))</f>
        <v>Социальное обеспечение и иные выплаты населению</v>
      </c>
      <c r="B785" s="46" t="s">
        <v>21</v>
      </c>
      <c r="C785" s="8" t="s">
        <v>196</v>
      </c>
      <c r="D785" s="8" t="s">
        <v>223</v>
      </c>
      <c r="E785" s="115">
        <v>300</v>
      </c>
      <c r="F785" s="7">
        <f t="shared" si="181"/>
        <v>14888.699999999999</v>
      </c>
      <c r="G785" s="7">
        <f t="shared" si="181"/>
        <v>0</v>
      </c>
      <c r="H785" s="36">
        <f t="shared" si="166"/>
        <v>14888.699999999999</v>
      </c>
      <c r="I785" s="7">
        <f t="shared" si="181"/>
        <v>0</v>
      </c>
      <c r="J785" s="36">
        <f t="shared" si="164"/>
        <v>14888.699999999999</v>
      </c>
      <c r="K785" s="7">
        <f t="shared" si="181"/>
        <v>0</v>
      </c>
      <c r="L785" s="36">
        <f t="shared" si="182"/>
        <v>14888.699999999999</v>
      </c>
      <c r="M785" s="7">
        <f t="shared" si="181"/>
        <v>0</v>
      </c>
      <c r="N785" s="36">
        <f t="shared" si="183"/>
        <v>14888.699999999999</v>
      </c>
      <c r="O785" s="7">
        <f t="shared" si="181"/>
        <v>0</v>
      </c>
      <c r="P785" s="36">
        <f t="shared" si="173"/>
        <v>14888.699999999999</v>
      </c>
      <c r="Q785" s="7">
        <f t="shared" si="181"/>
        <v>0</v>
      </c>
      <c r="R785" s="36">
        <f t="shared" si="174"/>
        <v>14888.699999999999</v>
      </c>
    </row>
    <row r="786" spans="1:18" ht="35.25" customHeight="1">
      <c r="A786" s="62" t="str">
        <f ca="1">IF(ISERROR(MATCH(E786,Код_КВР,0)),"",INDIRECT(ADDRESS(MATCH(E786,Код_КВР,0)+1,2,,,"КВР")))</f>
        <v>Социальные выплаты гражданам, кроме публичных нормативных социальных выплат</v>
      </c>
      <c r="B786" s="46" t="s">
        <v>21</v>
      </c>
      <c r="C786" s="8" t="s">
        <v>196</v>
      </c>
      <c r="D786" s="8" t="s">
        <v>223</v>
      </c>
      <c r="E786" s="115">
        <v>320</v>
      </c>
      <c r="F786" s="7">
        <f>SUM(F787:F788)</f>
        <v>14888.699999999999</v>
      </c>
      <c r="G786" s="7">
        <f>SUM(G787:G788)</f>
        <v>0</v>
      </c>
      <c r="H786" s="36">
        <f t="shared" si="166"/>
        <v>14888.699999999999</v>
      </c>
      <c r="I786" s="7">
        <f>SUM(I787:I788)</f>
        <v>0</v>
      </c>
      <c r="J786" s="36">
        <f t="shared" si="164"/>
        <v>14888.699999999999</v>
      </c>
      <c r="K786" s="7">
        <f>SUM(K787:K788)</f>
        <v>0</v>
      </c>
      <c r="L786" s="36">
        <f t="shared" si="182"/>
        <v>14888.699999999999</v>
      </c>
      <c r="M786" s="7">
        <f>SUM(M787:M788)</f>
        <v>0</v>
      </c>
      <c r="N786" s="36">
        <f t="shared" si="183"/>
        <v>14888.699999999999</v>
      </c>
      <c r="O786" s="7">
        <f>SUM(O787:O788)</f>
        <v>0</v>
      </c>
      <c r="P786" s="36">
        <f t="shared" si="173"/>
        <v>14888.699999999999</v>
      </c>
      <c r="Q786" s="7">
        <f>SUM(Q787:Q788)</f>
        <v>0</v>
      </c>
      <c r="R786" s="36">
        <f t="shared" si="174"/>
        <v>14888.699999999999</v>
      </c>
    </row>
    <row r="787" spans="1:18" ht="36.75" customHeight="1">
      <c r="A787" s="62" t="str">
        <f ca="1">IF(ISERROR(MATCH(E787,Код_КВР,0)),"",INDIRECT(ADDRESS(MATCH(E787,Код_КВР,0)+1,2,,,"КВР")))</f>
        <v>Пособия, компенсации и иные социальные выплаты гражданам, кроме публичных нормативных обязательств</v>
      </c>
      <c r="B787" s="46" t="s">
        <v>21</v>
      </c>
      <c r="C787" s="8" t="s">
        <v>196</v>
      </c>
      <c r="D787" s="8" t="s">
        <v>223</v>
      </c>
      <c r="E787" s="115">
        <v>321</v>
      </c>
      <c r="F787" s="7">
        <f>'прил.5'!G1310</f>
        <v>12936.9</v>
      </c>
      <c r="G787" s="7">
        <f>'прил.5'!H1310</f>
        <v>0</v>
      </c>
      <c r="H787" s="36">
        <f t="shared" si="166"/>
        <v>12936.9</v>
      </c>
      <c r="I787" s="7">
        <f>'прил.5'!J1310</f>
        <v>0</v>
      </c>
      <c r="J787" s="36">
        <f t="shared" si="164"/>
        <v>12936.9</v>
      </c>
      <c r="K787" s="7">
        <f>'прил.5'!L1310</f>
        <v>0</v>
      </c>
      <c r="L787" s="36">
        <f t="shared" si="182"/>
        <v>12936.9</v>
      </c>
      <c r="M787" s="7">
        <f>'прил.5'!N1310</f>
        <v>0</v>
      </c>
      <c r="N787" s="36">
        <f t="shared" si="183"/>
        <v>12936.9</v>
      </c>
      <c r="O787" s="7">
        <f>'прил.5'!P1310</f>
        <v>0</v>
      </c>
      <c r="P787" s="36">
        <f t="shared" si="173"/>
        <v>12936.9</v>
      </c>
      <c r="Q787" s="7">
        <f>'прил.5'!R1310</f>
        <v>0</v>
      </c>
      <c r="R787" s="36">
        <f t="shared" si="174"/>
        <v>12936.9</v>
      </c>
    </row>
    <row r="788" spans="1:18" ht="33">
      <c r="A788" s="62" t="str">
        <f ca="1">IF(ISERROR(MATCH(E788,Код_КВР,0)),"",INDIRECT(ADDRESS(MATCH(E788,Код_КВР,0)+1,2,,,"КВР")))</f>
        <v>Приобретение товаров, работ, услуг в пользу граждан в целях их социального обеспечения</v>
      </c>
      <c r="B788" s="46" t="s">
        <v>21</v>
      </c>
      <c r="C788" s="8" t="s">
        <v>196</v>
      </c>
      <c r="D788" s="8" t="s">
        <v>223</v>
      </c>
      <c r="E788" s="115">
        <v>323</v>
      </c>
      <c r="F788" s="7">
        <f>'прил.5'!G1311</f>
        <v>1951.8</v>
      </c>
      <c r="G788" s="7">
        <f>'прил.5'!H1311</f>
        <v>0</v>
      </c>
      <c r="H788" s="36">
        <f t="shared" si="166"/>
        <v>1951.8</v>
      </c>
      <c r="I788" s="7">
        <f>'прил.5'!J1311</f>
        <v>0</v>
      </c>
      <c r="J788" s="36">
        <f aca="true" t="shared" si="184" ref="J788:J872">H788+I788</f>
        <v>1951.8</v>
      </c>
      <c r="K788" s="7">
        <f>'прил.5'!L1311</f>
        <v>0</v>
      </c>
      <c r="L788" s="36">
        <f t="shared" si="182"/>
        <v>1951.8</v>
      </c>
      <c r="M788" s="7">
        <f>'прил.5'!N1311</f>
        <v>0</v>
      </c>
      <c r="N788" s="36">
        <f t="shared" si="183"/>
        <v>1951.8</v>
      </c>
      <c r="O788" s="7">
        <f>'прил.5'!P1311</f>
        <v>0</v>
      </c>
      <c r="P788" s="36">
        <f t="shared" si="173"/>
        <v>1951.8</v>
      </c>
      <c r="Q788" s="7">
        <f>'прил.5'!R1311</f>
        <v>0</v>
      </c>
      <c r="R788" s="36">
        <f t="shared" si="174"/>
        <v>1951.8</v>
      </c>
    </row>
    <row r="789" spans="1:18" ht="12.75">
      <c r="A789" s="62" t="str">
        <f ca="1">IF(ISERROR(MATCH(B789,Код_КЦСР,0)),"",INDIRECT(ADDRESS(MATCH(B789,Код_КЦСР,0)+1,2,,,"КЦСР")))</f>
        <v>Оплата услуг бани по льготным помывкам</v>
      </c>
      <c r="B789" s="46" t="s">
        <v>22</v>
      </c>
      <c r="C789" s="8"/>
      <c r="D789" s="1"/>
      <c r="E789" s="115"/>
      <c r="F789" s="7">
        <f aca="true" t="shared" si="185" ref="F789:Q793">F790</f>
        <v>71</v>
      </c>
      <c r="G789" s="7">
        <f t="shared" si="185"/>
        <v>0</v>
      </c>
      <c r="H789" s="36">
        <f t="shared" si="166"/>
        <v>71</v>
      </c>
      <c r="I789" s="7">
        <f t="shared" si="185"/>
        <v>0</v>
      </c>
      <c r="J789" s="36">
        <f t="shared" si="184"/>
        <v>71</v>
      </c>
      <c r="K789" s="7">
        <f t="shared" si="185"/>
        <v>0</v>
      </c>
      <c r="L789" s="36">
        <f t="shared" si="182"/>
        <v>71</v>
      </c>
      <c r="M789" s="7">
        <f t="shared" si="185"/>
        <v>0</v>
      </c>
      <c r="N789" s="36">
        <f t="shared" si="183"/>
        <v>71</v>
      </c>
      <c r="O789" s="7">
        <f t="shared" si="185"/>
        <v>0</v>
      </c>
      <c r="P789" s="36">
        <f t="shared" si="173"/>
        <v>71</v>
      </c>
      <c r="Q789" s="7">
        <f t="shared" si="185"/>
        <v>0</v>
      </c>
      <c r="R789" s="36">
        <f t="shared" si="174"/>
        <v>71</v>
      </c>
    </row>
    <row r="790" spans="1:18" ht="12.75">
      <c r="A790" s="62" t="str">
        <f ca="1">IF(ISERROR(MATCH(C790,Код_Раздел,0)),"",INDIRECT(ADDRESS(MATCH(C790,Код_Раздел,0)+1,2,,,"Раздел")))</f>
        <v>Социальная политика</v>
      </c>
      <c r="B790" s="46" t="s">
        <v>22</v>
      </c>
      <c r="C790" s="8" t="s">
        <v>196</v>
      </c>
      <c r="D790" s="1"/>
      <c r="E790" s="115"/>
      <c r="F790" s="7">
        <f t="shared" si="185"/>
        <v>71</v>
      </c>
      <c r="G790" s="7">
        <f t="shared" si="185"/>
        <v>0</v>
      </c>
      <c r="H790" s="36">
        <f t="shared" si="166"/>
        <v>71</v>
      </c>
      <c r="I790" s="7">
        <f t="shared" si="185"/>
        <v>0</v>
      </c>
      <c r="J790" s="36">
        <f t="shared" si="184"/>
        <v>71</v>
      </c>
      <c r="K790" s="7">
        <f t="shared" si="185"/>
        <v>0</v>
      </c>
      <c r="L790" s="36">
        <f t="shared" si="182"/>
        <v>71</v>
      </c>
      <c r="M790" s="7">
        <f t="shared" si="185"/>
        <v>0</v>
      </c>
      <c r="N790" s="36">
        <f t="shared" si="183"/>
        <v>71</v>
      </c>
      <c r="O790" s="7">
        <f t="shared" si="185"/>
        <v>0</v>
      </c>
      <c r="P790" s="36">
        <f t="shared" si="173"/>
        <v>71</v>
      </c>
      <c r="Q790" s="7">
        <f t="shared" si="185"/>
        <v>0</v>
      </c>
      <c r="R790" s="36">
        <f t="shared" si="174"/>
        <v>71</v>
      </c>
    </row>
    <row r="791" spans="1:18" ht="12.75">
      <c r="A791" s="12" t="s">
        <v>187</v>
      </c>
      <c r="B791" s="46" t="s">
        <v>22</v>
      </c>
      <c r="C791" s="8" t="s">
        <v>196</v>
      </c>
      <c r="D791" s="8" t="s">
        <v>223</v>
      </c>
      <c r="E791" s="115"/>
      <c r="F791" s="7">
        <f t="shared" si="185"/>
        <v>71</v>
      </c>
      <c r="G791" s="7">
        <f t="shared" si="185"/>
        <v>0</v>
      </c>
      <c r="H791" s="36">
        <f t="shared" si="166"/>
        <v>71</v>
      </c>
      <c r="I791" s="7">
        <f t="shared" si="185"/>
        <v>0</v>
      </c>
      <c r="J791" s="36">
        <f t="shared" si="184"/>
        <v>71</v>
      </c>
      <c r="K791" s="7">
        <f t="shared" si="185"/>
        <v>0</v>
      </c>
      <c r="L791" s="36">
        <f t="shared" si="182"/>
        <v>71</v>
      </c>
      <c r="M791" s="7">
        <f t="shared" si="185"/>
        <v>0</v>
      </c>
      <c r="N791" s="36">
        <f t="shared" si="183"/>
        <v>71</v>
      </c>
      <c r="O791" s="7">
        <f t="shared" si="185"/>
        <v>0</v>
      </c>
      <c r="P791" s="36">
        <f t="shared" si="173"/>
        <v>71</v>
      </c>
      <c r="Q791" s="7">
        <f t="shared" si="185"/>
        <v>0</v>
      </c>
      <c r="R791" s="36">
        <f t="shared" si="174"/>
        <v>71</v>
      </c>
    </row>
    <row r="792" spans="1:18" ht="12.75">
      <c r="A792" s="62" t="str">
        <f ca="1">IF(ISERROR(MATCH(E792,Код_КВР,0)),"",INDIRECT(ADDRESS(MATCH(E792,Код_КВР,0)+1,2,,,"КВР")))</f>
        <v>Социальное обеспечение и иные выплаты населению</v>
      </c>
      <c r="B792" s="46" t="s">
        <v>22</v>
      </c>
      <c r="C792" s="8" t="s">
        <v>196</v>
      </c>
      <c r="D792" s="8" t="s">
        <v>223</v>
      </c>
      <c r="E792" s="115">
        <v>300</v>
      </c>
      <c r="F792" s="7">
        <f t="shared" si="185"/>
        <v>71</v>
      </c>
      <c r="G792" s="7">
        <f t="shared" si="185"/>
        <v>0</v>
      </c>
      <c r="H792" s="36">
        <f t="shared" si="166"/>
        <v>71</v>
      </c>
      <c r="I792" s="7">
        <f t="shared" si="185"/>
        <v>0</v>
      </c>
      <c r="J792" s="36">
        <f t="shared" si="184"/>
        <v>71</v>
      </c>
      <c r="K792" s="7">
        <f t="shared" si="185"/>
        <v>0</v>
      </c>
      <c r="L792" s="36">
        <f t="shared" si="182"/>
        <v>71</v>
      </c>
      <c r="M792" s="7">
        <f t="shared" si="185"/>
        <v>0</v>
      </c>
      <c r="N792" s="36">
        <f t="shared" si="183"/>
        <v>71</v>
      </c>
      <c r="O792" s="7">
        <f t="shared" si="185"/>
        <v>0</v>
      </c>
      <c r="P792" s="36">
        <f t="shared" si="173"/>
        <v>71</v>
      </c>
      <c r="Q792" s="7">
        <f t="shared" si="185"/>
        <v>0</v>
      </c>
      <c r="R792" s="36">
        <f t="shared" si="174"/>
        <v>71</v>
      </c>
    </row>
    <row r="793" spans="1:18" ht="33">
      <c r="A793" s="62" t="str">
        <f ca="1">IF(ISERROR(MATCH(E793,Код_КВР,0)),"",INDIRECT(ADDRESS(MATCH(E793,Код_КВР,0)+1,2,,,"КВР")))</f>
        <v>Социальные выплаты гражданам, кроме публичных нормативных социальных выплат</v>
      </c>
      <c r="B793" s="46" t="s">
        <v>22</v>
      </c>
      <c r="C793" s="8" t="s">
        <v>196</v>
      </c>
      <c r="D793" s="8" t="s">
        <v>223</v>
      </c>
      <c r="E793" s="115">
        <v>320</v>
      </c>
      <c r="F793" s="7">
        <f t="shared" si="185"/>
        <v>71</v>
      </c>
      <c r="G793" s="7">
        <f t="shared" si="185"/>
        <v>0</v>
      </c>
      <c r="H793" s="36">
        <f t="shared" si="166"/>
        <v>71</v>
      </c>
      <c r="I793" s="7">
        <f t="shared" si="185"/>
        <v>0</v>
      </c>
      <c r="J793" s="36">
        <f t="shared" si="184"/>
        <v>71</v>
      </c>
      <c r="K793" s="7">
        <f t="shared" si="185"/>
        <v>0</v>
      </c>
      <c r="L793" s="36">
        <f t="shared" si="182"/>
        <v>71</v>
      </c>
      <c r="M793" s="7">
        <f t="shared" si="185"/>
        <v>0</v>
      </c>
      <c r="N793" s="36">
        <f t="shared" si="183"/>
        <v>71</v>
      </c>
      <c r="O793" s="7">
        <f t="shared" si="185"/>
        <v>0</v>
      </c>
      <c r="P793" s="36">
        <f t="shared" si="173"/>
        <v>71</v>
      </c>
      <c r="Q793" s="7">
        <f t="shared" si="185"/>
        <v>0</v>
      </c>
      <c r="R793" s="36">
        <f t="shared" si="174"/>
        <v>71</v>
      </c>
    </row>
    <row r="794" spans="1:18" ht="33">
      <c r="A794" s="62" t="str">
        <f ca="1">IF(ISERROR(MATCH(E794,Код_КВР,0)),"",INDIRECT(ADDRESS(MATCH(E794,Код_КВР,0)+1,2,,,"КВР")))</f>
        <v>Приобретение товаров, работ, услуг в пользу граждан в целях их социального обеспечения</v>
      </c>
      <c r="B794" s="46" t="s">
        <v>22</v>
      </c>
      <c r="C794" s="8" t="s">
        <v>196</v>
      </c>
      <c r="D794" s="8" t="s">
        <v>223</v>
      </c>
      <c r="E794" s="115">
        <v>323</v>
      </c>
      <c r="F794" s="7">
        <f>'прил.5'!G539</f>
        <v>71</v>
      </c>
      <c r="G794" s="7">
        <f>'прил.5'!H539</f>
        <v>0</v>
      </c>
      <c r="H794" s="36">
        <f t="shared" si="166"/>
        <v>71</v>
      </c>
      <c r="I794" s="7">
        <f>'прил.5'!J539</f>
        <v>0</v>
      </c>
      <c r="J794" s="36">
        <f t="shared" si="184"/>
        <v>71</v>
      </c>
      <c r="K794" s="7">
        <f>'прил.5'!L539</f>
        <v>0</v>
      </c>
      <c r="L794" s="36">
        <f t="shared" si="182"/>
        <v>71</v>
      </c>
      <c r="M794" s="7">
        <f>'прил.5'!N539</f>
        <v>0</v>
      </c>
      <c r="N794" s="36">
        <f t="shared" si="183"/>
        <v>71</v>
      </c>
      <c r="O794" s="7">
        <f>'прил.5'!P539</f>
        <v>0</v>
      </c>
      <c r="P794" s="36">
        <f t="shared" si="173"/>
        <v>71</v>
      </c>
      <c r="Q794" s="7">
        <f>'прил.5'!R539</f>
        <v>0</v>
      </c>
      <c r="R794" s="36">
        <f t="shared" si="174"/>
        <v>71</v>
      </c>
    </row>
    <row r="795" spans="1:18" ht="69" customHeight="1">
      <c r="A795" s="62" t="str">
        <f ca="1">IF(ISERROR(MATCH(B795,Код_КЦСР,0)),"",INDIRECT(ADDRESS(MATCH(B795,Код_КЦСР,0)+1,2,,,"КЦСР")))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95" s="48" t="s">
        <v>373</v>
      </c>
      <c r="C795" s="8"/>
      <c r="D795" s="1"/>
      <c r="E795" s="115"/>
      <c r="F795" s="7">
        <f aca="true" t="shared" si="186" ref="F795:Q799">F796</f>
        <v>26528.4</v>
      </c>
      <c r="G795" s="7">
        <f t="shared" si="186"/>
        <v>0</v>
      </c>
      <c r="H795" s="36">
        <f t="shared" si="166"/>
        <v>26528.4</v>
      </c>
      <c r="I795" s="7">
        <f t="shared" si="186"/>
        <v>0</v>
      </c>
      <c r="J795" s="36">
        <f t="shared" si="184"/>
        <v>26528.4</v>
      </c>
      <c r="K795" s="7">
        <f t="shared" si="186"/>
        <v>-2965.2</v>
      </c>
      <c r="L795" s="36">
        <f t="shared" si="182"/>
        <v>23563.2</v>
      </c>
      <c r="M795" s="7">
        <f t="shared" si="186"/>
        <v>0</v>
      </c>
      <c r="N795" s="36">
        <f t="shared" si="183"/>
        <v>23563.2</v>
      </c>
      <c r="O795" s="7">
        <f t="shared" si="186"/>
        <v>0</v>
      </c>
      <c r="P795" s="36">
        <f t="shared" si="173"/>
        <v>23563.2</v>
      </c>
      <c r="Q795" s="7">
        <f t="shared" si="186"/>
        <v>0</v>
      </c>
      <c r="R795" s="36">
        <f t="shared" si="174"/>
        <v>23563.2</v>
      </c>
    </row>
    <row r="796" spans="1:18" ht="12.75">
      <c r="A796" s="62" t="str">
        <f ca="1">IF(ISERROR(MATCH(C796,Код_Раздел,0)),"",INDIRECT(ADDRESS(MATCH(C796,Код_Раздел,0)+1,2,,,"Раздел")))</f>
        <v>Образование</v>
      </c>
      <c r="B796" s="48" t="s">
        <v>373</v>
      </c>
      <c r="C796" s="8" t="s">
        <v>203</v>
      </c>
      <c r="D796" s="1"/>
      <c r="E796" s="115"/>
      <c r="F796" s="7">
        <f t="shared" si="186"/>
        <v>26528.4</v>
      </c>
      <c r="G796" s="7">
        <f t="shared" si="186"/>
        <v>0</v>
      </c>
      <c r="H796" s="36">
        <f aca="true" t="shared" si="187" ref="H796:H880">F796+G796</f>
        <v>26528.4</v>
      </c>
      <c r="I796" s="7">
        <f t="shared" si="186"/>
        <v>0</v>
      </c>
      <c r="J796" s="36">
        <f t="shared" si="184"/>
        <v>26528.4</v>
      </c>
      <c r="K796" s="7">
        <f t="shared" si="186"/>
        <v>-2965.2</v>
      </c>
      <c r="L796" s="36">
        <f t="shared" si="182"/>
        <v>23563.2</v>
      </c>
      <c r="M796" s="7">
        <f t="shared" si="186"/>
        <v>0</v>
      </c>
      <c r="N796" s="36">
        <f t="shared" si="183"/>
        <v>23563.2</v>
      </c>
      <c r="O796" s="7">
        <f t="shared" si="186"/>
        <v>0</v>
      </c>
      <c r="P796" s="36">
        <f t="shared" si="173"/>
        <v>23563.2</v>
      </c>
      <c r="Q796" s="7">
        <f t="shared" si="186"/>
        <v>0</v>
      </c>
      <c r="R796" s="36">
        <f t="shared" si="174"/>
        <v>23563.2</v>
      </c>
    </row>
    <row r="797" spans="1:18" ht="12.75">
      <c r="A797" s="12" t="s">
        <v>207</v>
      </c>
      <c r="B797" s="48" t="s">
        <v>373</v>
      </c>
      <c r="C797" s="8" t="s">
        <v>203</v>
      </c>
      <c r="D797" s="8" t="s">
        <v>203</v>
      </c>
      <c r="E797" s="115"/>
      <c r="F797" s="7">
        <f t="shared" si="186"/>
        <v>26528.4</v>
      </c>
      <c r="G797" s="7">
        <f t="shared" si="186"/>
        <v>0</v>
      </c>
      <c r="H797" s="36">
        <f t="shared" si="187"/>
        <v>26528.4</v>
      </c>
      <c r="I797" s="7">
        <f>I798+I801</f>
        <v>0</v>
      </c>
      <c r="J797" s="36">
        <f t="shared" si="184"/>
        <v>26528.4</v>
      </c>
      <c r="K797" s="7">
        <f>K798+K801</f>
        <v>-2965.2</v>
      </c>
      <c r="L797" s="36">
        <f t="shared" si="182"/>
        <v>23563.2</v>
      </c>
      <c r="M797" s="7">
        <f>M798+M801</f>
        <v>0</v>
      </c>
      <c r="N797" s="36">
        <f t="shared" si="183"/>
        <v>23563.2</v>
      </c>
      <c r="O797" s="7">
        <f>O798+O801</f>
        <v>0</v>
      </c>
      <c r="P797" s="36">
        <f t="shared" si="173"/>
        <v>23563.2</v>
      </c>
      <c r="Q797" s="7">
        <f>Q798+Q801</f>
        <v>0</v>
      </c>
      <c r="R797" s="36">
        <f t="shared" si="174"/>
        <v>23563.2</v>
      </c>
    </row>
    <row r="798" spans="1:18" ht="12.75" hidden="1">
      <c r="A798" s="62" t="str">
        <f ca="1">IF(ISERROR(MATCH(E798,Код_КВР,0)),"",INDIRECT(ADDRESS(MATCH(E798,Код_КВР,0)+1,2,,,"КВР")))</f>
        <v>Социальное обеспечение и иные выплаты населению</v>
      </c>
      <c r="B798" s="48" t="s">
        <v>373</v>
      </c>
      <c r="C798" s="8" t="s">
        <v>203</v>
      </c>
      <c r="D798" s="8" t="s">
        <v>203</v>
      </c>
      <c r="E798" s="115">
        <v>300</v>
      </c>
      <c r="F798" s="7">
        <f t="shared" si="186"/>
        <v>26528.4</v>
      </c>
      <c r="G798" s="7">
        <f t="shared" si="186"/>
        <v>0</v>
      </c>
      <c r="H798" s="36">
        <f t="shared" si="187"/>
        <v>26528.4</v>
      </c>
      <c r="I798" s="7">
        <f t="shared" si="186"/>
        <v>-26528.4</v>
      </c>
      <c r="J798" s="36">
        <f t="shared" si="184"/>
        <v>0</v>
      </c>
      <c r="K798" s="7">
        <f t="shared" si="186"/>
        <v>0</v>
      </c>
      <c r="L798" s="36">
        <f t="shared" si="182"/>
        <v>0</v>
      </c>
      <c r="M798" s="7">
        <f t="shared" si="186"/>
        <v>0</v>
      </c>
      <c r="N798" s="36">
        <f t="shared" si="183"/>
        <v>0</v>
      </c>
      <c r="O798" s="7">
        <f t="shared" si="186"/>
        <v>0</v>
      </c>
      <c r="P798" s="36">
        <f t="shared" si="173"/>
        <v>0</v>
      </c>
      <c r="Q798" s="7">
        <f t="shared" si="186"/>
        <v>0</v>
      </c>
      <c r="R798" s="36">
        <f t="shared" si="174"/>
        <v>0</v>
      </c>
    </row>
    <row r="799" spans="1:18" ht="33" hidden="1">
      <c r="A799" s="62" t="str">
        <f ca="1">IF(ISERROR(MATCH(E799,Код_КВР,0)),"",INDIRECT(ADDRESS(MATCH(E799,Код_КВР,0)+1,2,,,"КВР")))</f>
        <v>Социальные выплаты гражданам, кроме публичных нормативных социальных выплат</v>
      </c>
      <c r="B799" s="48" t="s">
        <v>373</v>
      </c>
      <c r="C799" s="8" t="s">
        <v>203</v>
      </c>
      <c r="D799" s="8" t="s">
        <v>203</v>
      </c>
      <c r="E799" s="115">
        <v>320</v>
      </c>
      <c r="F799" s="7">
        <f t="shared" si="186"/>
        <v>26528.4</v>
      </c>
      <c r="G799" s="7">
        <f t="shared" si="186"/>
        <v>0</v>
      </c>
      <c r="H799" s="36">
        <f t="shared" si="187"/>
        <v>26528.4</v>
      </c>
      <c r="I799" s="7">
        <f t="shared" si="186"/>
        <v>-26528.4</v>
      </c>
      <c r="J799" s="36">
        <f t="shared" si="184"/>
        <v>0</v>
      </c>
      <c r="K799" s="7">
        <f t="shared" si="186"/>
        <v>0</v>
      </c>
      <c r="L799" s="36">
        <f t="shared" si="182"/>
        <v>0</v>
      </c>
      <c r="M799" s="7">
        <f t="shared" si="186"/>
        <v>0</v>
      </c>
      <c r="N799" s="36">
        <f t="shared" si="183"/>
        <v>0</v>
      </c>
      <c r="O799" s="7">
        <f t="shared" si="186"/>
        <v>0</v>
      </c>
      <c r="P799" s="36">
        <f t="shared" si="173"/>
        <v>0</v>
      </c>
      <c r="Q799" s="7">
        <f t="shared" si="186"/>
        <v>0</v>
      </c>
      <c r="R799" s="36">
        <f t="shared" si="174"/>
        <v>0</v>
      </c>
    </row>
    <row r="800" spans="1:18" ht="33" hidden="1">
      <c r="A800" s="62" t="str">
        <f ca="1">IF(ISERROR(MATCH(E800,Код_КВР,0)),"",INDIRECT(ADDRESS(MATCH(E800,Код_КВР,0)+1,2,,,"КВР")))</f>
        <v>Приобретение товаров, работ, услуг в пользу граждан в целях их социального обеспечения</v>
      </c>
      <c r="B800" s="48" t="s">
        <v>373</v>
      </c>
      <c r="C800" s="8" t="s">
        <v>203</v>
      </c>
      <c r="D800" s="8" t="s">
        <v>203</v>
      </c>
      <c r="E800" s="115">
        <v>323</v>
      </c>
      <c r="F800" s="7">
        <f>'прил.5'!G1242</f>
        <v>26528.4</v>
      </c>
      <c r="G800" s="7">
        <f>'прил.5'!H1242</f>
        <v>0</v>
      </c>
      <c r="H800" s="36">
        <f t="shared" si="187"/>
        <v>26528.4</v>
      </c>
      <c r="I800" s="7">
        <f>'прил.5'!J1242</f>
        <v>-26528.4</v>
      </c>
      <c r="J800" s="36">
        <f t="shared" si="184"/>
        <v>0</v>
      </c>
      <c r="K800" s="7">
        <f>'прил.5'!L1242</f>
        <v>0</v>
      </c>
      <c r="L800" s="36">
        <f t="shared" si="182"/>
        <v>0</v>
      </c>
      <c r="M800" s="7">
        <f>'прил.5'!N1242</f>
        <v>0</v>
      </c>
      <c r="N800" s="36">
        <f t="shared" si="183"/>
        <v>0</v>
      </c>
      <c r="O800" s="7">
        <f>'прил.5'!P1242</f>
        <v>0</v>
      </c>
      <c r="P800" s="36">
        <f t="shared" si="173"/>
        <v>0</v>
      </c>
      <c r="Q800" s="7">
        <f>'прил.5'!R1242</f>
        <v>0</v>
      </c>
      <c r="R800" s="36">
        <f t="shared" si="174"/>
        <v>0</v>
      </c>
    </row>
    <row r="801" spans="1:18" ht="23.25" customHeight="1">
      <c r="A801" s="62" t="str">
        <f ca="1">IF(ISERROR(MATCH(E801,Код_КВР,0)),"",INDIRECT(ADDRESS(MATCH(E801,Код_КВР,0)+1,2,,,"КВР")))</f>
        <v>Иные бюджетные ассигнования</v>
      </c>
      <c r="B801" s="48" t="s">
        <v>373</v>
      </c>
      <c r="C801" s="8" t="s">
        <v>203</v>
      </c>
      <c r="D801" s="8" t="s">
        <v>203</v>
      </c>
      <c r="E801" s="115">
        <v>800</v>
      </c>
      <c r="F801" s="7"/>
      <c r="G801" s="7"/>
      <c r="H801" s="36"/>
      <c r="I801" s="7">
        <f>I802</f>
        <v>26528.4</v>
      </c>
      <c r="J801" s="36">
        <f t="shared" si="184"/>
        <v>26528.4</v>
      </c>
      <c r="K801" s="7">
        <f>K802</f>
        <v>-2965.2</v>
      </c>
      <c r="L801" s="36">
        <f t="shared" si="182"/>
        <v>23563.2</v>
      </c>
      <c r="M801" s="7">
        <f>M802</f>
        <v>0</v>
      </c>
      <c r="N801" s="36">
        <f t="shared" si="183"/>
        <v>23563.2</v>
      </c>
      <c r="O801" s="7">
        <f>O802</f>
        <v>0</v>
      </c>
      <c r="P801" s="36">
        <f t="shared" si="173"/>
        <v>23563.2</v>
      </c>
      <c r="Q801" s="7">
        <f>Q802</f>
        <v>0</v>
      </c>
      <c r="R801" s="36">
        <f t="shared" si="174"/>
        <v>23563.2</v>
      </c>
    </row>
    <row r="802" spans="1:18" ht="49.5">
      <c r="A802" s="62" t="str">
        <f ca="1">IF(ISERROR(MATCH(E802,Код_КВР,0)),"",INDIRECT(ADDRESS(MATCH(E802,Код_КВР,0)+1,2,,,"КВР")))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02" s="48" t="s">
        <v>373</v>
      </c>
      <c r="C802" s="8" t="s">
        <v>203</v>
      </c>
      <c r="D802" s="8" t="s">
        <v>203</v>
      </c>
      <c r="E802" s="115">
        <v>810</v>
      </c>
      <c r="F802" s="7"/>
      <c r="G802" s="7"/>
      <c r="H802" s="36"/>
      <c r="I802" s="7">
        <f>'прил.5'!J1244</f>
        <v>26528.4</v>
      </c>
      <c r="J802" s="36">
        <f t="shared" si="184"/>
        <v>26528.4</v>
      </c>
      <c r="K802" s="7">
        <f>'прил.5'!L1244</f>
        <v>-2965.2</v>
      </c>
      <c r="L802" s="36">
        <f t="shared" si="182"/>
        <v>23563.2</v>
      </c>
      <c r="M802" s="7">
        <f>'прил.5'!N1244</f>
        <v>0</v>
      </c>
      <c r="N802" s="36">
        <f t="shared" si="183"/>
        <v>23563.2</v>
      </c>
      <c r="O802" s="7">
        <f>'прил.5'!P1244</f>
        <v>0</v>
      </c>
      <c r="P802" s="36">
        <f t="shared" si="173"/>
        <v>23563.2</v>
      </c>
      <c r="Q802" s="7">
        <f>'прил.5'!R1244</f>
        <v>0</v>
      </c>
      <c r="R802" s="36">
        <f t="shared" si="174"/>
        <v>23563.2</v>
      </c>
    </row>
    <row r="803" spans="1:18" ht="59.25" customHeight="1">
      <c r="A803" s="62" t="str">
        <f ca="1">IF(ISERROR(MATCH(B803,Код_КЦСР,0)),"",INDIRECT(ADDRESS(MATCH(B803,Код_КЦСР,0)+1,2,,,"КЦСР")))</f>
        <v>Мероприятия государственной программы Российской Федерации "Доступная среда" на 2011-2015 годы за счет средств федерального бюджета</v>
      </c>
      <c r="B803" s="46" t="s">
        <v>656</v>
      </c>
      <c r="C803" s="8"/>
      <c r="D803" s="1"/>
      <c r="E803" s="122"/>
      <c r="F803" s="7"/>
      <c r="G803" s="7"/>
      <c r="H803" s="36"/>
      <c r="I803" s="7"/>
      <c r="J803" s="36"/>
      <c r="K803" s="7"/>
      <c r="L803" s="36"/>
      <c r="M803" s="7"/>
      <c r="N803" s="36"/>
      <c r="O803" s="7"/>
      <c r="P803" s="36"/>
      <c r="Q803" s="7">
        <f>Q809+Q804</f>
        <v>365</v>
      </c>
      <c r="R803" s="36">
        <f t="shared" si="174"/>
        <v>365</v>
      </c>
    </row>
    <row r="804" spans="1:18" ht="19.5" customHeight="1">
      <c r="A804" s="62" t="str">
        <f ca="1">IF(ISERROR(MATCH(C804,Код_Раздел,0)),"",INDIRECT(ADDRESS(MATCH(C804,Код_Раздел,0)+1,2,,,"Раздел")))</f>
        <v>Национальная экономика</v>
      </c>
      <c r="B804" s="46" t="s">
        <v>656</v>
      </c>
      <c r="C804" s="8" t="s">
        <v>224</v>
      </c>
      <c r="D804" s="1"/>
      <c r="E804" s="130"/>
      <c r="F804" s="7"/>
      <c r="G804" s="7"/>
      <c r="H804" s="36"/>
      <c r="I804" s="7"/>
      <c r="J804" s="36"/>
      <c r="K804" s="7"/>
      <c r="L804" s="36"/>
      <c r="M804" s="7"/>
      <c r="N804" s="36"/>
      <c r="O804" s="7"/>
      <c r="P804" s="36"/>
      <c r="Q804" s="7">
        <f>Q805</f>
        <v>75</v>
      </c>
      <c r="R804" s="36">
        <f t="shared" si="174"/>
        <v>75</v>
      </c>
    </row>
    <row r="805" spans="1:18" ht="21" customHeight="1">
      <c r="A805" s="79" t="s">
        <v>188</v>
      </c>
      <c r="B805" s="46" t="s">
        <v>656</v>
      </c>
      <c r="C805" s="8" t="s">
        <v>224</v>
      </c>
      <c r="D805" s="8" t="s">
        <v>227</v>
      </c>
      <c r="E805" s="130"/>
      <c r="F805" s="7"/>
      <c r="G805" s="7"/>
      <c r="H805" s="36"/>
      <c r="I805" s="7"/>
      <c r="J805" s="36"/>
      <c r="K805" s="7"/>
      <c r="L805" s="36"/>
      <c r="M805" s="7"/>
      <c r="N805" s="36"/>
      <c r="O805" s="7"/>
      <c r="P805" s="36"/>
      <c r="Q805" s="7">
        <f>Q806</f>
        <v>75</v>
      </c>
      <c r="R805" s="36">
        <f t="shared" si="174"/>
        <v>75</v>
      </c>
    </row>
    <row r="806" spans="1:18" ht="21.95" customHeight="1">
      <c r="A806" s="62" t="str">
        <f ca="1">IF(ISERROR(MATCH(E806,Код_КВР,0)),"",INDIRECT(ADDRESS(MATCH(E806,Код_КВР,0)+1,2,,,"КВР")))</f>
        <v>Закупка товаров, работ и услуг для муниципальных нужд</v>
      </c>
      <c r="B806" s="46" t="s">
        <v>656</v>
      </c>
      <c r="C806" s="8" t="s">
        <v>224</v>
      </c>
      <c r="D806" s="8" t="s">
        <v>227</v>
      </c>
      <c r="E806" s="130">
        <v>200</v>
      </c>
      <c r="F806" s="7"/>
      <c r="G806" s="7"/>
      <c r="H806" s="36"/>
      <c r="I806" s="7"/>
      <c r="J806" s="36"/>
      <c r="K806" s="7"/>
      <c r="L806" s="36"/>
      <c r="M806" s="7"/>
      <c r="N806" s="36"/>
      <c r="O806" s="7"/>
      <c r="P806" s="36"/>
      <c r="Q806" s="7">
        <f>Q807</f>
        <v>75</v>
      </c>
      <c r="R806" s="36">
        <f t="shared" si="174"/>
        <v>75</v>
      </c>
    </row>
    <row r="807" spans="1:18" ht="40.5" customHeight="1">
      <c r="A807" s="62" t="str">
        <f ca="1">IF(ISERROR(MATCH(E807,Код_КВР,0)),"",INDIRECT(ADDRESS(MATCH(E807,Код_КВР,0)+1,2,,,"КВР")))</f>
        <v>Иные закупки товаров, работ и услуг для обеспечения муниципальных нужд</v>
      </c>
      <c r="B807" s="46" t="s">
        <v>656</v>
      </c>
      <c r="C807" s="8" t="s">
        <v>224</v>
      </c>
      <c r="D807" s="8" t="s">
        <v>227</v>
      </c>
      <c r="E807" s="130">
        <v>240</v>
      </c>
      <c r="F807" s="7"/>
      <c r="G807" s="7"/>
      <c r="H807" s="36"/>
      <c r="I807" s="7"/>
      <c r="J807" s="36"/>
      <c r="K807" s="7"/>
      <c r="L807" s="36"/>
      <c r="M807" s="7"/>
      <c r="N807" s="36"/>
      <c r="O807" s="7"/>
      <c r="P807" s="36"/>
      <c r="Q807" s="7">
        <f>Q808</f>
        <v>75</v>
      </c>
      <c r="R807" s="36">
        <f t="shared" si="174"/>
        <v>75</v>
      </c>
    </row>
    <row r="808" spans="1:18" ht="39.95" customHeight="1">
      <c r="A808" s="62" t="str">
        <f ca="1">IF(ISERROR(MATCH(E808,Код_КВР,0)),"",INDIRECT(ADDRESS(MATCH(E808,Код_КВР,0)+1,2,,,"КВР")))</f>
        <v xml:space="preserve">Прочая закупка товаров, работ и услуг для обеспечения муниципальных нужд         </v>
      </c>
      <c r="B808" s="46" t="s">
        <v>656</v>
      </c>
      <c r="C808" s="8" t="s">
        <v>224</v>
      </c>
      <c r="D808" s="8" t="s">
        <v>227</v>
      </c>
      <c r="E808" s="130">
        <v>244</v>
      </c>
      <c r="F808" s="7"/>
      <c r="G808" s="7"/>
      <c r="H808" s="36"/>
      <c r="I808" s="7"/>
      <c r="J808" s="36"/>
      <c r="K808" s="7"/>
      <c r="L808" s="36"/>
      <c r="M808" s="7"/>
      <c r="N808" s="36"/>
      <c r="O808" s="7"/>
      <c r="P808" s="36"/>
      <c r="Q808" s="7">
        <f>'прил.5'!R432</f>
        <v>75</v>
      </c>
      <c r="R808" s="36">
        <f t="shared" si="174"/>
        <v>75</v>
      </c>
    </row>
    <row r="809" spans="1:18" ht="12.75">
      <c r="A809" s="62" t="str">
        <f ca="1">IF(ISERROR(MATCH(C809,Код_Раздел,0)),"",INDIRECT(ADDRESS(MATCH(C809,Код_Раздел,0)+1,2,,,"Раздел")))</f>
        <v>Социальная политика</v>
      </c>
      <c r="B809" s="46" t="s">
        <v>656</v>
      </c>
      <c r="C809" s="8" t="s">
        <v>196</v>
      </c>
      <c r="D809" s="1"/>
      <c r="E809" s="122"/>
      <c r="F809" s="7"/>
      <c r="G809" s="7"/>
      <c r="H809" s="36"/>
      <c r="I809" s="7"/>
      <c r="J809" s="36"/>
      <c r="K809" s="7"/>
      <c r="L809" s="36"/>
      <c r="M809" s="7"/>
      <c r="N809" s="36"/>
      <c r="O809" s="7"/>
      <c r="P809" s="36"/>
      <c r="Q809" s="7">
        <f>Q810</f>
        <v>290</v>
      </c>
      <c r="R809" s="36">
        <f t="shared" si="174"/>
        <v>290</v>
      </c>
    </row>
    <row r="810" spans="1:18" ht="12.75">
      <c r="A810" s="12" t="s">
        <v>267</v>
      </c>
      <c r="B810" s="46" t="s">
        <v>656</v>
      </c>
      <c r="C810" s="8" t="s">
        <v>196</v>
      </c>
      <c r="D810" s="8" t="s">
        <v>222</v>
      </c>
      <c r="E810" s="122"/>
      <c r="F810" s="7"/>
      <c r="G810" s="7"/>
      <c r="H810" s="36"/>
      <c r="I810" s="7"/>
      <c r="J810" s="36"/>
      <c r="K810" s="7"/>
      <c r="L810" s="36"/>
      <c r="M810" s="7"/>
      <c r="N810" s="36"/>
      <c r="O810" s="7"/>
      <c r="P810" s="36"/>
      <c r="Q810" s="7">
        <f>Q811</f>
        <v>290</v>
      </c>
      <c r="R810" s="36">
        <f t="shared" si="174"/>
        <v>290</v>
      </c>
    </row>
    <row r="811" spans="1:18" ht="39" customHeight="1">
      <c r="A811" s="62" t="str">
        <f ca="1">IF(ISERROR(MATCH(E811,Код_КВР,0)),"",INDIRECT(ADDRESS(MATCH(E811,Код_КВР,0)+1,2,,,"КВР")))</f>
        <v>Предоставление субсидий бюджетным, автономным учреждениям и иным некоммерческим организациям</v>
      </c>
      <c r="B811" s="46" t="s">
        <v>656</v>
      </c>
      <c r="C811" s="8" t="s">
        <v>196</v>
      </c>
      <c r="D811" s="8" t="s">
        <v>222</v>
      </c>
      <c r="E811" s="122">
        <v>600</v>
      </c>
      <c r="F811" s="7"/>
      <c r="G811" s="7"/>
      <c r="H811" s="36"/>
      <c r="I811" s="7"/>
      <c r="J811" s="36"/>
      <c r="K811" s="7"/>
      <c r="L811" s="36"/>
      <c r="M811" s="7"/>
      <c r="N811" s="36"/>
      <c r="O811" s="7"/>
      <c r="P811" s="36"/>
      <c r="Q811" s="7">
        <f>Q812</f>
        <v>290</v>
      </c>
      <c r="R811" s="36">
        <f t="shared" si="174"/>
        <v>290</v>
      </c>
    </row>
    <row r="812" spans="1:18" ht="21" customHeight="1">
      <c r="A812" s="62" t="str">
        <f ca="1">IF(ISERROR(MATCH(E812,Код_КВР,0)),"",INDIRECT(ADDRESS(MATCH(E812,Код_КВР,0)+1,2,,,"КВР")))</f>
        <v>Субсидии бюджетным учреждениям</v>
      </c>
      <c r="B812" s="46" t="s">
        <v>656</v>
      </c>
      <c r="C812" s="8" t="s">
        <v>196</v>
      </c>
      <c r="D812" s="8" t="s">
        <v>222</v>
      </c>
      <c r="E812" s="122">
        <v>610</v>
      </c>
      <c r="F812" s="7"/>
      <c r="G812" s="7"/>
      <c r="H812" s="36"/>
      <c r="I812" s="7"/>
      <c r="J812" s="36"/>
      <c r="K812" s="7"/>
      <c r="L812" s="36"/>
      <c r="M812" s="7"/>
      <c r="N812" s="36"/>
      <c r="O812" s="7"/>
      <c r="P812" s="36"/>
      <c r="Q812" s="7">
        <f>Q813</f>
        <v>290</v>
      </c>
      <c r="R812" s="36">
        <f t="shared" si="174"/>
        <v>290</v>
      </c>
    </row>
    <row r="813" spans="1:18" ht="24.75" customHeight="1">
      <c r="A813" s="62" t="str">
        <f ca="1">IF(ISERROR(MATCH(E813,Код_КВР,0)),"",INDIRECT(ADDRESS(MATCH(E813,Код_КВР,0)+1,2,,,"КВР")))</f>
        <v>Субсидии бюджетным учреждениям на иные цели</v>
      </c>
      <c r="B813" s="46" t="s">
        <v>656</v>
      </c>
      <c r="C813" s="8" t="s">
        <v>196</v>
      </c>
      <c r="D813" s="8" t="s">
        <v>222</v>
      </c>
      <c r="E813" s="122">
        <v>612</v>
      </c>
      <c r="F813" s="7"/>
      <c r="G813" s="7"/>
      <c r="H813" s="36"/>
      <c r="I813" s="7"/>
      <c r="J813" s="36"/>
      <c r="K813" s="7"/>
      <c r="L813" s="36"/>
      <c r="M813" s="7"/>
      <c r="N813" s="36"/>
      <c r="O813" s="7"/>
      <c r="P813" s="36"/>
      <c r="Q813" s="7">
        <f>'прил.5'!R1259</f>
        <v>290</v>
      </c>
      <c r="R813" s="36">
        <f t="shared" si="174"/>
        <v>290</v>
      </c>
    </row>
    <row r="814" spans="1:18" ht="33">
      <c r="A814" s="62" t="str">
        <f ca="1">IF(ISERROR(MATCH(B814,Код_КЦСР,0)),"",INDIRECT(ADDRESS(MATCH(B814,Код_КЦСР,0)+1,2,,,"КЦСР")))</f>
        <v>Мероприятия по проведению оздоровительной кампании детей за счет субвенций из федерального бюджета</v>
      </c>
      <c r="B814" s="46" t="s">
        <v>431</v>
      </c>
      <c r="C814" s="8"/>
      <c r="D814" s="1"/>
      <c r="E814" s="115"/>
      <c r="F814" s="7">
        <f aca="true" t="shared" si="188" ref="F814:Q818">F815</f>
        <v>4806</v>
      </c>
      <c r="G814" s="7">
        <f t="shared" si="188"/>
        <v>0</v>
      </c>
      <c r="H814" s="36">
        <f t="shared" si="187"/>
        <v>4806</v>
      </c>
      <c r="I814" s="7">
        <f t="shared" si="188"/>
        <v>0</v>
      </c>
      <c r="J814" s="36">
        <f t="shared" si="184"/>
        <v>4806</v>
      </c>
      <c r="K814" s="7">
        <f t="shared" si="188"/>
        <v>0</v>
      </c>
      <c r="L814" s="36">
        <f t="shared" si="182"/>
        <v>4806</v>
      </c>
      <c r="M814" s="7">
        <f t="shared" si="188"/>
        <v>0</v>
      </c>
      <c r="N814" s="36">
        <f t="shared" si="183"/>
        <v>4806</v>
      </c>
      <c r="O814" s="7">
        <f t="shared" si="188"/>
        <v>0</v>
      </c>
      <c r="P814" s="36">
        <f t="shared" si="173"/>
        <v>4806</v>
      </c>
      <c r="Q814" s="7">
        <f t="shared" si="188"/>
        <v>0</v>
      </c>
      <c r="R814" s="36">
        <f t="shared" si="174"/>
        <v>4806</v>
      </c>
    </row>
    <row r="815" spans="1:18" ht="12.75">
      <c r="A815" s="62" t="str">
        <f ca="1">IF(ISERROR(MATCH(C815,Код_Раздел,0)),"",INDIRECT(ADDRESS(MATCH(C815,Код_Раздел,0)+1,2,,,"Раздел")))</f>
        <v>Образование</v>
      </c>
      <c r="B815" s="46" t="s">
        <v>431</v>
      </c>
      <c r="C815" s="8" t="s">
        <v>203</v>
      </c>
      <c r="D815" s="1"/>
      <c r="E815" s="115"/>
      <c r="F815" s="7">
        <f t="shared" si="188"/>
        <v>4806</v>
      </c>
      <c r="G815" s="7">
        <f t="shared" si="188"/>
        <v>0</v>
      </c>
      <c r="H815" s="36">
        <f t="shared" si="187"/>
        <v>4806</v>
      </c>
      <c r="I815" s="7">
        <f t="shared" si="188"/>
        <v>0</v>
      </c>
      <c r="J815" s="36">
        <f t="shared" si="184"/>
        <v>4806</v>
      </c>
      <c r="K815" s="7">
        <f t="shared" si="188"/>
        <v>0</v>
      </c>
      <c r="L815" s="36">
        <f t="shared" si="182"/>
        <v>4806</v>
      </c>
      <c r="M815" s="7">
        <f t="shared" si="188"/>
        <v>0</v>
      </c>
      <c r="N815" s="36">
        <f t="shared" si="183"/>
        <v>4806</v>
      </c>
      <c r="O815" s="7">
        <f t="shared" si="188"/>
        <v>0</v>
      </c>
      <c r="P815" s="36">
        <f t="shared" si="173"/>
        <v>4806</v>
      </c>
      <c r="Q815" s="7">
        <f t="shared" si="188"/>
        <v>0</v>
      </c>
      <c r="R815" s="36">
        <f t="shared" si="174"/>
        <v>4806</v>
      </c>
    </row>
    <row r="816" spans="1:18" ht="12.75">
      <c r="A816" s="12" t="s">
        <v>207</v>
      </c>
      <c r="B816" s="46" t="s">
        <v>431</v>
      </c>
      <c r="C816" s="8" t="s">
        <v>203</v>
      </c>
      <c r="D816" s="8" t="s">
        <v>203</v>
      </c>
      <c r="E816" s="115"/>
      <c r="F816" s="7">
        <f t="shared" si="188"/>
        <v>4806</v>
      </c>
      <c r="G816" s="7">
        <f t="shared" si="188"/>
        <v>0</v>
      </c>
      <c r="H816" s="36">
        <f t="shared" si="187"/>
        <v>4806</v>
      </c>
      <c r="I816" s="7">
        <f t="shared" si="188"/>
        <v>0</v>
      </c>
      <c r="J816" s="36">
        <f t="shared" si="184"/>
        <v>4806</v>
      </c>
      <c r="K816" s="7">
        <f t="shared" si="188"/>
        <v>0</v>
      </c>
      <c r="L816" s="36">
        <f t="shared" si="182"/>
        <v>4806</v>
      </c>
      <c r="M816" s="7">
        <f t="shared" si="188"/>
        <v>0</v>
      </c>
      <c r="N816" s="36">
        <f t="shared" si="183"/>
        <v>4806</v>
      </c>
      <c r="O816" s="7">
        <f t="shared" si="188"/>
        <v>0</v>
      </c>
      <c r="P816" s="36">
        <f t="shared" si="173"/>
        <v>4806</v>
      </c>
      <c r="Q816" s="7">
        <f t="shared" si="188"/>
        <v>0</v>
      </c>
      <c r="R816" s="36">
        <f t="shared" si="174"/>
        <v>4806</v>
      </c>
    </row>
    <row r="817" spans="1:18" ht="12.75">
      <c r="A817" s="62" t="str">
        <f ca="1">IF(ISERROR(MATCH(E817,Код_КВР,0)),"",INDIRECT(ADDRESS(MATCH(E817,Код_КВР,0)+1,2,,,"КВР")))</f>
        <v>Социальное обеспечение и иные выплаты населению</v>
      </c>
      <c r="B817" s="46" t="s">
        <v>431</v>
      </c>
      <c r="C817" s="8" t="s">
        <v>203</v>
      </c>
      <c r="D817" s="8" t="s">
        <v>203</v>
      </c>
      <c r="E817" s="115">
        <v>300</v>
      </c>
      <c r="F817" s="7">
        <f t="shared" si="188"/>
        <v>4806</v>
      </c>
      <c r="G817" s="7">
        <f t="shared" si="188"/>
        <v>0</v>
      </c>
      <c r="H817" s="36">
        <f t="shared" si="187"/>
        <v>4806</v>
      </c>
      <c r="I817" s="7">
        <f t="shared" si="188"/>
        <v>0</v>
      </c>
      <c r="J817" s="36">
        <f t="shared" si="184"/>
        <v>4806</v>
      </c>
      <c r="K817" s="7">
        <f t="shared" si="188"/>
        <v>0</v>
      </c>
      <c r="L817" s="36">
        <f t="shared" si="182"/>
        <v>4806</v>
      </c>
      <c r="M817" s="7">
        <f t="shared" si="188"/>
        <v>0</v>
      </c>
      <c r="N817" s="36">
        <f t="shared" si="183"/>
        <v>4806</v>
      </c>
      <c r="O817" s="7">
        <f t="shared" si="188"/>
        <v>0</v>
      </c>
      <c r="P817" s="36">
        <f t="shared" si="173"/>
        <v>4806</v>
      </c>
      <c r="Q817" s="7">
        <f t="shared" si="188"/>
        <v>0</v>
      </c>
      <c r="R817" s="36">
        <f t="shared" si="174"/>
        <v>4806</v>
      </c>
    </row>
    <row r="818" spans="1:18" ht="33">
      <c r="A818" s="62" t="str">
        <f ca="1">IF(ISERROR(MATCH(E818,Код_КВР,0)),"",INDIRECT(ADDRESS(MATCH(E818,Код_КВР,0)+1,2,,,"КВР")))</f>
        <v>Социальные выплаты гражданам, кроме публичных нормативных социальных выплат</v>
      </c>
      <c r="B818" s="46" t="s">
        <v>431</v>
      </c>
      <c r="C818" s="8" t="s">
        <v>203</v>
      </c>
      <c r="D818" s="8" t="s">
        <v>203</v>
      </c>
      <c r="E818" s="115">
        <v>320</v>
      </c>
      <c r="F818" s="7">
        <f t="shared" si="188"/>
        <v>4806</v>
      </c>
      <c r="G818" s="7">
        <f t="shared" si="188"/>
        <v>0</v>
      </c>
      <c r="H818" s="36">
        <f t="shared" si="187"/>
        <v>4806</v>
      </c>
      <c r="I818" s="7">
        <f t="shared" si="188"/>
        <v>0</v>
      </c>
      <c r="J818" s="36">
        <f t="shared" si="184"/>
        <v>4806</v>
      </c>
      <c r="K818" s="7">
        <f t="shared" si="188"/>
        <v>0</v>
      </c>
      <c r="L818" s="36">
        <f t="shared" si="182"/>
        <v>4806</v>
      </c>
      <c r="M818" s="7">
        <f t="shared" si="188"/>
        <v>0</v>
      </c>
      <c r="N818" s="36">
        <f t="shared" si="183"/>
        <v>4806</v>
      </c>
      <c r="O818" s="7">
        <f t="shared" si="188"/>
        <v>0</v>
      </c>
      <c r="P818" s="36">
        <f t="shared" si="173"/>
        <v>4806</v>
      </c>
      <c r="Q818" s="7">
        <f t="shared" si="188"/>
        <v>0</v>
      </c>
      <c r="R818" s="36">
        <f t="shared" si="174"/>
        <v>4806</v>
      </c>
    </row>
    <row r="819" spans="1:18" ht="33">
      <c r="A819" s="62" t="str">
        <f ca="1">IF(ISERROR(MATCH(E819,Код_КВР,0)),"",INDIRECT(ADDRESS(MATCH(E819,Код_КВР,0)+1,2,,,"КВР")))</f>
        <v>Приобретение товаров, работ, услуг в пользу граждан в целях их социального обеспечения</v>
      </c>
      <c r="B819" s="46" t="s">
        <v>431</v>
      </c>
      <c r="C819" s="8" t="s">
        <v>203</v>
      </c>
      <c r="D819" s="8" t="s">
        <v>203</v>
      </c>
      <c r="E819" s="115">
        <v>323</v>
      </c>
      <c r="F819" s="7">
        <f>'прил.5'!G1248</f>
        <v>4806</v>
      </c>
      <c r="G819" s="7">
        <f>'прил.5'!H1248</f>
        <v>0</v>
      </c>
      <c r="H819" s="36">
        <f t="shared" si="187"/>
        <v>4806</v>
      </c>
      <c r="I819" s="7">
        <f>'прил.5'!J1248</f>
        <v>0</v>
      </c>
      <c r="J819" s="36">
        <f t="shared" si="184"/>
        <v>4806</v>
      </c>
      <c r="K819" s="7">
        <f>'прил.5'!L1248</f>
        <v>0</v>
      </c>
      <c r="L819" s="36">
        <f t="shared" si="182"/>
        <v>4806</v>
      </c>
      <c r="M819" s="7">
        <f>'прил.5'!N1248</f>
        <v>0</v>
      </c>
      <c r="N819" s="36">
        <f t="shared" si="183"/>
        <v>4806</v>
      </c>
      <c r="O819" s="7">
        <f>'прил.5'!P1248</f>
        <v>0</v>
      </c>
      <c r="P819" s="36">
        <f t="shared" si="173"/>
        <v>4806</v>
      </c>
      <c r="Q819" s="7">
        <f>'прил.5'!R1248</f>
        <v>0</v>
      </c>
      <c r="R819" s="36">
        <f t="shared" si="174"/>
        <v>4806</v>
      </c>
    </row>
    <row r="820" spans="1:18" ht="33">
      <c r="A820" s="62" t="str">
        <f ca="1">IF(ISERROR(MATCH(B820,Код_КЦСР,0)),"",INDIRECT(ADDRESS(MATCH(B820,Код_КЦСР,0)+1,2,,,"КЦСР")))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820" s="46" t="s">
        <v>419</v>
      </c>
      <c r="C820" s="8"/>
      <c r="D820" s="1"/>
      <c r="E820" s="115"/>
      <c r="F820" s="7">
        <f aca="true" t="shared" si="189" ref="F820:Q824">F821</f>
        <v>277578.3</v>
      </c>
      <c r="G820" s="7">
        <f t="shared" si="189"/>
        <v>0</v>
      </c>
      <c r="H820" s="36">
        <f t="shared" si="187"/>
        <v>277578.3</v>
      </c>
      <c r="I820" s="7">
        <f t="shared" si="189"/>
        <v>0</v>
      </c>
      <c r="J820" s="36">
        <f t="shared" si="184"/>
        <v>277578.3</v>
      </c>
      <c r="K820" s="7">
        <f t="shared" si="189"/>
        <v>0</v>
      </c>
      <c r="L820" s="36">
        <f t="shared" si="182"/>
        <v>277578.3</v>
      </c>
      <c r="M820" s="7">
        <f t="shared" si="189"/>
        <v>0</v>
      </c>
      <c r="N820" s="36">
        <f t="shared" si="183"/>
        <v>277578.3</v>
      </c>
      <c r="O820" s="7">
        <f t="shared" si="189"/>
        <v>0</v>
      </c>
      <c r="P820" s="36">
        <f t="shared" si="173"/>
        <v>277578.3</v>
      </c>
      <c r="Q820" s="7">
        <f t="shared" si="189"/>
        <v>0</v>
      </c>
      <c r="R820" s="36">
        <f t="shared" si="174"/>
        <v>277578.3</v>
      </c>
    </row>
    <row r="821" spans="1:18" ht="12.75">
      <c r="A821" s="62" t="str">
        <f ca="1">IF(ISERROR(MATCH(C821,Код_Раздел,0)),"",INDIRECT(ADDRESS(MATCH(C821,Код_Раздел,0)+1,2,,,"Раздел")))</f>
        <v>Социальная политика</v>
      </c>
      <c r="B821" s="46" t="s">
        <v>419</v>
      </c>
      <c r="C821" s="8" t="s">
        <v>196</v>
      </c>
      <c r="D821" s="1"/>
      <c r="E821" s="115"/>
      <c r="F821" s="7">
        <f t="shared" si="189"/>
        <v>277578.3</v>
      </c>
      <c r="G821" s="7">
        <f t="shared" si="189"/>
        <v>0</v>
      </c>
      <c r="H821" s="36">
        <f t="shared" si="187"/>
        <v>277578.3</v>
      </c>
      <c r="I821" s="7">
        <f t="shared" si="189"/>
        <v>0</v>
      </c>
      <c r="J821" s="36">
        <f t="shared" si="184"/>
        <v>277578.3</v>
      </c>
      <c r="K821" s="7">
        <f t="shared" si="189"/>
        <v>0</v>
      </c>
      <c r="L821" s="36">
        <f t="shared" si="182"/>
        <v>277578.3</v>
      </c>
      <c r="M821" s="7">
        <f t="shared" si="189"/>
        <v>0</v>
      </c>
      <c r="N821" s="36">
        <f t="shared" si="183"/>
        <v>277578.3</v>
      </c>
      <c r="O821" s="7">
        <f t="shared" si="189"/>
        <v>0</v>
      </c>
      <c r="P821" s="36">
        <f t="shared" si="173"/>
        <v>277578.3</v>
      </c>
      <c r="Q821" s="7">
        <f t="shared" si="189"/>
        <v>0</v>
      </c>
      <c r="R821" s="36">
        <f t="shared" si="174"/>
        <v>277578.3</v>
      </c>
    </row>
    <row r="822" spans="1:18" ht="12.75">
      <c r="A822" s="12" t="s">
        <v>187</v>
      </c>
      <c r="B822" s="46" t="s">
        <v>419</v>
      </c>
      <c r="C822" s="8" t="s">
        <v>196</v>
      </c>
      <c r="D822" s="8" t="s">
        <v>223</v>
      </c>
      <c r="E822" s="115"/>
      <c r="F822" s="7">
        <f t="shared" si="189"/>
        <v>277578.3</v>
      </c>
      <c r="G822" s="7">
        <f t="shared" si="189"/>
        <v>0</v>
      </c>
      <c r="H822" s="36">
        <f t="shared" si="187"/>
        <v>277578.3</v>
      </c>
      <c r="I822" s="7">
        <f t="shared" si="189"/>
        <v>0</v>
      </c>
      <c r="J822" s="36">
        <f t="shared" si="184"/>
        <v>277578.3</v>
      </c>
      <c r="K822" s="7">
        <f t="shared" si="189"/>
        <v>0</v>
      </c>
      <c r="L822" s="36">
        <f t="shared" si="182"/>
        <v>277578.3</v>
      </c>
      <c r="M822" s="7">
        <f t="shared" si="189"/>
        <v>0</v>
      </c>
      <c r="N822" s="36">
        <f t="shared" si="183"/>
        <v>277578.3</v>
      </c>
      <c r="O822" s="7">
        <f t="shared" si="189"/>
        <v>0</v>
      </c>
      <c r="P822" s="36">
        <f t="shared" si="173"/>
        <v>277578.3</v>
      </c>
      <c r="Q822" s="7">
        <f t="shared" si="189"/>
        <v>0</v>
      </c>
      <c r="R822" s="36">
        <f t="shared" si="174"/>
        <v>277578.3</v>
      </c>
    </row>
    <row r="823" spans="1:18" ht="12.75">
      <c r="A823" s="62" t="str">
        <f ca="1">IF(ISERROR(MATCH(E823,Код_КВР,0)),"",INDIRECT(ADDRESS(MATCH(E823,Код_КВР,0)+1,2,,,"КВР")))</f>
        <v>Социальное обеспечение и иные выплаты населению</v>
      </c>
      <c r="B823" s="46" t="s">
        <v>419</v>
      </c>
      <c r="C823" s="8" t="s">
        <v>196</v>
      </c>
      <c r="D823" s="8" t="s">
        <v>223</v>
      </c>
      <c r="E823" s="115">
        <v>300</v>
      </c>
      <c r="F823" s="7">
        <f t="shared" si="189"/>
        <v>277578.3</v>
      </c>
      <c r="G823" s="7">
        <f t="shared" si="189"/>
        <v>0</v>
      </c>
      <c r="H823" s="36">
        <f t="shared" si="187"/>
        <v>277578.3</v>
      </c>
      <c r="I823" s="7">
        <f t="shared" si="189"/>
        <v>0</v>
      </c>
      <c r="J823" s="36">
        <f t="shared" si="184"/>
        <v>277578.3</v>
      </c>
      <c r="K823" s="7">
        <f t="shared" si="189"/>
        <v>0</v>
      </c>
      <c r="L823" s="36">
        <f t="shared" si="182"/>
        <v>277578.3</v>
      </c>
      <c r="M823" s="7">
        <f t="shared" si="189"/>
        <v>0</v>
      </c>
      <c r="N823" s="36">
        <f t="shared" si="183"/>
        <v>277578.3</v>
      </c>
      <c r="O823" s="7">
        <f t="shared" si="189"/>
        <v>0</v>
      </c>
      <c r="P823" s="36">
        <f t="shared" si="173"/>
        <v>277578.3</v>
      </c>
      <c r="Q823" s="7">
        <f t="shared" si="189"/>
        <v>0</v>
      </c>
      <c r="R823" s="36">
        <f t="shared" si="174"/>
        <v>277578.3</v>
      </c>
    </row>
    <row r="824" spans="1:18" ht="33">
      <c r="A824" s="62" t="str">
        <f ca="1">IF(ISERROR(MATCH(E824,Код_КВР,0)),"",INDIRECT(ADDRESS(MATCH(E824,Код_КВР,0)+1,2,,,"КВР")))</f>
        <v>Социальные выплаты гражданам, кроме публичных нормативных социальных выплат</v>
      </c>
      <c r="B824" s="46" t="s">
        <v>419</v>
      </c>
      <c r="C824" s="8" t="s">
        <v>196</v>
      </c>
      <c r="D824" s="8" t="s">
        <v>223</v>
      </c>
      <c r="E824" s="115">
        <v>320</v>
      </c>
      <c r="F824" s="7">
        <f t="shared" si="189"/>
        <v>277578.3</v>
      </c>
      <c r="G824" s="7">
        <f t="shared" si="189"/>
        <v>0</v>
      </c>
      <c r="H824" s="36">
        <f t="shared" si="187"/>
        <v>277578.3</v>
      </c>
      <c r="I824" s="7">
        <f t="shared" si="189"/>
        <v>0</v>
      </c>
      <c r="J824" s="36">
        <f t="shared" si="184"/>
        <v>277578.3</v>
      </c>
      <c r="K824" s="7">
        <f t="shared" si="189"/>
        <v>0</v>
      </c>
      <c r="L824" s="36">
        <f t="shared" si="182"/>
        <v>277578.3</v>
      </c>
      <c r="M824" s="7">
        <f t="shared" si="189"/>
        <v>0</v>
      </c>
      <c r="N824" s="36">
        <f t="shared" si="183"/>
        <v>277578.3</v>
      </c>
      <c r="O824" s="7">
        <f t="shared" si="189"/>
        <v>0</v>
      </c>
      <c r="P824" s="36">
        <f t="shared" si="173"/>
        <v>277578.3</v>
      </c>
      <c r="Q824" s="7">
        <f t="shared" si="189"/>
        <v>0</v>
      </c>
      <c r="R824" s="36">
        <f t="shared" si="174"/>
        <v>277578.3</v>
      </c>
    </row>
    <row r="825" spans="1:18" ht="33">
      <c r="A825" s="62" t="str">
        <f ca="1">IF(ISERROR(MATCH(E825,Код_КВР,0)),"",INDIRECT(ADDRESS(MATCH(E825,Код_КВР,0)+1,2,,,"КВР")))</f>
        <v>Пособия, компенсации и иные социальные выплаты гражданам, кроме публичных нормативных обязательств</v>
      </c>
      <c r="B825" s="46" t="s">
        <v>419</v>
      </c>
      <c r="C825" s="8" t="s">
        <v>196</v>
      </c>
      <c r="D825" s="8" t="s">
        <v>223</v>
      </c>
      <c r="E825" s="115">
        <v>321</v>
      </c>
      <c r="F825" s="7">
        <f>'прил.5'!G1315</f>
        <v>277578.3</v>
      </c>
      <c r="G825" s="7">
        <f>'прил.5'!H1315</f>
        <v>0</v>
      </c>
      <c r="H825" s="36">
        <f t="shared" si="187"/>
        <v>277578.3</v>
      </c>
      <c r="I825" s="7">
        <f>'прил.5'!J1315</f>
        <v>0</v>
      </c>
      <c r="J825" s="36">
        <f t="shared" si="184"/>
        <v>277578.3</v>
      </c>
      <c r="K825" s="7">
        <f>'прил.5'!L1315</f>
        <v>0</v>
      </c>
      <c r="L825" s="36">
        <f t="shared" si="182"/>
        <v>277578.3</v>
      </c>
      <c r="M825" s="7">
        <f>'прил.5'!N1315</f>
        <v>0</v>
      </c>
      <c r="N825" s="36">
        <f t="shared" si="183"/>
        <v>277578.3</v>
      </c>
      <c r="O825" s="7">
        <f>'прил.5'!P1315</f>
        <v>0</v>
      </c>
      <c r="P825" s="36">
        <f t="shared" si="173"/>
        <v>277578.3</v>
      </c>
      <c r="Q825" s="7">
        <f>'прил.5'!R1315</f>
        <v>0</v>
      </c>
      <c r="R825" s="36">
        <f t="shared" si="174"/>
        <v>277578.3</v>
      </c>
    </row>
    <row r="826" spans="1:18" ht="87" customHeight="1">
      <c r="A826" s="62" t="str">
        <f ca="1">IF(ISERROR(MATCH(B826,Код_КЦСР,0)),"",INDIRECT(ADDRESS(MATCH(B826,Код_КЦСР,0)+1,2,,,"КЦСР")))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826" s="115" t="s">
        <v>417</v>
      </c>
      <c r="C826" s="8"/>
      <c r="D826" s="1"/>
      <c r="E826" s="115"/>
      <c r="F826" s="7">
        <f>F827</f>
        <v>5542.6</v>
      </c>
      <c r="G826" s="7">
        <f>G827</f>
        <v>0</v>
      </c>
      <c r="H826" s="36">
        <f t="shared" si="187"/>
        <v>5542.6</v>
      </c>
      <c r="I826" s="7">
        <f>I827</f>
        <v>0</v>
      </c>
      <c r="J826" s="36">
        <f t="shared" si="184"/>
        <v>5542.6</v>
      </c>
      <c r="K826" s="7">
        <f>K827</f>
        <v>0</v>
      </c>
      <c r="L826" s="36">
        <f t="shared" si="182"/>
        <v>5542.6</v>
      </c>
      <c r="M826" s="7">
        <f>M827</f>
        <v>0</v>
      </c>
      <c r="N826" s="36">
        <f t="shared" si="183"/>
        <v>5542.6</v>
      </c>
      <c r="O826" s="7">
        <f>O827</f>
        <v>0</v>
      </c>
      <c r="P826" s="36">
        <f t="shared" si="173"/>
        <v>5542.6</v>
      </c>
      <c r="Q826" s="7">
        <f>Q827</f>
        <v>0</v>
      </c>
      <c r="R826" s="36">
        <f t="shared" si="174"/>
        <v>5542.6</v>
      </c>
    </row>
    <row r="827" spans="1:18" ht="12.75">
      <c r="A827" s="62" t="str">
        <f ca="1">IF(ISERROR(MATCH(C827,Код_Раздел,0)),"",INDIRECT(ADDRESS(MATCH(C827,Код_Раздел,0)+1,2,,,"Раздел")))</f>
        <v>Образование</v>
      </c>
      <c r="B827" s="115" t="s">
        <v>417</v>
      </c>
      <c r="C827" s="8" t="s">
        <v>203</v>
      </c>
      <c r="D827" s="1"/>
      <c r="E827" s="115"/>
      <c r="F827" s="7">
        <f>F828</f>
        <v>5542.6</v>
      </c>
      <c r="G827" s="7">
        <f>G828</f>
        <v>0</v>
      </c>
      <c r="H827" s="36">
        <f t="shared" si="187"/>
        <v>5542.6</v>
      </c>
      <c r="I827" s="7">
        <f>I828</f>
        <v>0</v>
      </c>
      <c r="J827" s="36">
        <f t="shared" si="184"/>
        <v>5542.6</v>
      </c>
      <c r="K827" s="7">
        <f>K828</f>
        <v>0</v>
      </c>
      <c r="L827" s="36">
        <f t="shared" si="182"/>
        <v>5542.6</v>
      </c>
      <c r="M827" s="7">
        <f>M828</f>
        <v>0</v>
      </c>
      <c r="N827" s="36">
        <f t="shared" si="183"/>
        <v>5542.6</v>
      </c>
      <c r="O827" s="7">
        <f>O828</f>
        <v>0</v>
      </c>
      <c r="P827" s="36">
        <f t="shared" si="173"/>
        <v>5542.6</v>
      </c>
      <c r="Q827" s="7">
        <f>Q828</f>
        <v>0</v>
      </c>
      <c r="R827" s="36">
        <f t="shared" si="174"/>
        <v>5542.6</v>
      </c>
    </row>
    <row r="828" spans="1:18" ht="12.75">
      <c r="A828" s="12" t="s">
        <v>207</v>
      </c>
      <c r="B828" s="115" t="s">
        <v>417</v>
      </c>
      <c r="C828" s="8" t="s">
        <v>203</v>
      </c>
      <c r="D828" s="8" t="s">
        <v>203</v>
      </c>
      <c r="E828" s="115"/>
      <c r="F828" s="7">
        <f>F829+F832</f>
        <v>5542.6</v>
      </c>
      <c r="G828" s="7">
        <f>G829+G832</f>
        <v>0</v>
      </c>
      <c r="H828" s="36">
        <f t="shared" si="187"/>
        <v>5542.6</v>
      </c>
      <c r="I828" s="7">
        <f>I829+I832</f>
        <v>0</v>
      </c>
      <c r="J828" s="36">
        <f t="shared" si="184"/>
        <v>5542.6</v>
      </c>
      <c r="K828" s="7">
        <f>K829+K832</f>
        <v>0</v>
      </c>
      <c r="L828" s="36">
        <f t="shared" si="182"/>
        <v>5542.6</v>
      </c>
      <c r="M828" s="7">
        <f>M829+M832</f>
        <v>0</v>
      </c>
      <c r="N828" s="36">
        <f t="shared" si="183"/>
        <v>5542.6</v>
      </c>
      <c r="O828" s="7">
        <f>O829+O832</f>
        <v>0</v>
      </c>
      <c r="P828" s="36">
        <f t="shared" si="173"/>
        <v>5542.6</v>
      </c>
      <c r="Q828" s="7">
        <f>Q829+Q832</f>
        <v>0</v>
      </c>
      <c r="R828" s="36">
        <f t="shared" si="174"/>
        <v>5542.6</v>
      </c>
    </row>
    <row r="829" spans="1:18" ht="12.75">
      <c r="A829" s="62" t="str">
        <f aca="true" t="shared" si="190" ref="A829:A834">IF(ISERROR(MATCH(E829,Код_КВР,0)),"",INDIRECT(ADDRESS(MATCH(E829,Код_КВР,0)+1,2,,,"КВР")))</f>
        <v>Закупка товаров, работ и услуг для муниципальных нужд</v>
      </c>
      <c r="B829" s="115" t="s">
        <v>417</v>
      </c>
      <c r="C829" s="8" t="s">
        <v>203</v>
      </c>
      <c r="D829" s="8" t="s">
        <v>203</v>
      </c>
      <c r="E829" s="115">
        <v>200</v>
      </c>
      <c r="F829" s="7">
        <f>F830</f>
        <v>800</v>
      </c>
      <c r="G829" s="7">
        <f>G830</f>
        <v>0</v>
      </c>
      <c r="H829" s="36">
        <f t="shared" si="187"/>
        <v>800</v>
      </c>
      <c r="I829" s="7">
        <f>I830</f>
        <v>0</v>
      </c>
      <c r="J829" s="36">
        <f t="shared" si="184"/>
        <v>800</v>
      </c>
      <c r="K829" s="7">
        <f>K830</f>
        <v>0</v>
      </c>
      <c r="L829" s="36">
        <f t="shared" si="182"/>
        <v>800</v>
      </c>
      <c r="M829" s="7">
        <f>M830</f>
        <v>0</v>
      </c>
      <c r="N829" s="36">
        <f t="shared" si="183"/>
        <v>800</v>
      </c>
      <c r="O829" s="7">
        <f>O830</f>
        <v>0</v>
      </c>
      <c r="P829" s="36">
        <f t="shared" si="173"/>
        <v>800</v>
      </c>
      <c r="Q829" s="7">
        <f>Q830</f>
        <v>0</v>
      </c>
      <c r="R829" s="36">
        <f t="shared" si="174"/>
        <v>800</v>
      </c>
    </row>
    <row r="830" spans="1:18" ht="33">
      <c r="A830" s="62" t="str">
        <f ca="1" t="shared" si="190"/>
        <v>Иные закупки товаров, работ и услуг для обеспечения муниципальных нужд</v>
      </c>
      <c r="B830" s="115" t="s">
        <v>417</v>
      </c>
      <c r="C830" s="8" t="s">
        <v>203</v>
      </c>
      <c r="D830" s="8" t="s">
        <v>203</v>
      </c>
      <c r="E830" s="115">
        <v>240</v>
      </c>
      <c r="F830" s="7">
        <f>F831</f>
        <v>800</v>
      </c>
      <c r="G830" s="7">
        <f>G831</f>
        <v>0</v>
      </c>
      <c r="H830" s="36">
        <f t="shared" si="187"/>
        <v>800</v>
      </c>
      <c r="I830" s="7">
        <f>I831</f>
        <v>0</v>
      </c>
      <c r="J830" s="36">
        <f t="shared" si="184"/>
        <v>800</v>
      </c>
      <c r="K830" s="7">
        <f>K831</f>
        <v>0</v>
      </c>
      <c r="L830" s="36">
        <f t="shared" si="182"/>
        <v>800</v>
      </c>
      <c r="M830" s="7">
        <f>M831</f>
        <v>0</v>
      </c>
      <c r="N830" s="36">
        <f t="shared" si="183"/>
        <v>800</v>
      </c>
      <c r="O830" s="7">
        <f>O831</f>
        <v>0</v>
      </c>
      <c r="P830" s="36">
        <f t="shared" si="173"/>
        <v>800</v>
      </c>
      <c r="Q830" s="7">
        <f>Q831</f>
        <v>0</v>
      </c>
      <c r="R830" s="36">
        <f t="shared" si="174"/>
        <v>800</v>
      </c>
    </row>
    <row r="831" spans="1:18" ht="33">
      <c r="A831" s="62" t="str">
        <f ca="1" t="shared" si="190"/>
        <v>Закупка товаров, работ, услуг в целях капитального ремонта муниципального имущества</v>
      </c>
      <c r="B831" s="115" t="s">
        <v>417</v>
      </c>
      <c r="C831" s="8" t="s">
        <v>203</v>
      </c>
      <c r="D831" s="8" t="s">
        <v>203</v>
      </c>
      <c r="E831" s="115">
        <v>243</v>
      </c>
      <c r="F831" s="7">
        <f>'прил.5'!G1527</f>
        <v>800</v>
      </c>
      <c r="G831" s="7">
        <f>'прил.5'!H1527</f>
        <v>0</v>
      </c>
      <c r="H831" s="36">
        <f t="shared" si="187"/>
        <v>800</v>
      </c>
      <c r="I831" s="7">
        <f>'прил.5'!J1527</f>
        <v>0</v>
      </c>
      <c r="J831" s="36">
        <f t="shared" si="184"/>
        <v>800</v>
      </c>
      <c r="K831" s="7">
        <f>'прил.5'!L1527</f>
        <v>0</v>
      </c>
      <c r="L831" s="36">
        <f t="shared" si="182"/>
        <v>800</v>
      </c>
      <c r="M831" s="7">
        <f>'прил.5'!N1527</f>
        <v>0</v>
      </c>
      <c r="N831" s="36">
        <f t="shared" si="183"/>
        <v>800</v>
      </c>
      <c r="O831" s="7">
        <f>'прил.5'!P1527</f>
        <v>0</v>
      </c>
      <c r="P831" s="36">
        <f t="shared" si="173"/>
        <v>800</v>
      </c>
      <c r="Q831" s="7">
        <f>'прил.5'!R1527</f>
        <v>0</v>
      </c>
      <c r="R831" s="36">
        <f t="shared" si="174"/>
        <v>800</v>
      </c>
    </row>
    <row r="832" spans="1:18" ht="33">
      <c r="A832" s="62" t="str">
        <f ca="1" t="shared" si="190"/>
        <v>Капитальные вложения в объекты недвижимого имущества муниципальной собственности</v>
      </c>
      <c r="B832" s="115" t="s">
        <v>417</v>
      </c>
      <c r="C832" s="8" t="s">
        <v>203</v>
      </c>
      <c r="D832" s="8" t="s">
        <v>203</v>
      </c>
      <c r="E832" s="115">
        <v>400</v>
      </c>
      <c r="F832" s="7">
        <f>F833</f>
        <v>4742.6</v>
      </c>
      <c r="G832" s="7">
        <f>G833</f>
        <v>0</v>
      </c>
      <c r="H832" s="36">
        <f t="shared" si="187"/>
        <v>4742.6</v>
      </c>
      <c r="I832" s="7">
        <f>I833</f>
        <v>0</v>
      </c>
      <c r="J832" s="36">
        <f t="shared" si="184"/>
        <v>4742.6</v>
      </c>
      <c r="K832" s="7">
        <f>K833</f>
        <v>0</v>
      </c>
      <c r="L832" s="36">
        <f t="shared" si="182"/>
        <v>4742.6</v>
      </c>
      <c r="M832" s="7">
        <f>M833</f>
        <v>0</v>
      </c>
      <c r="N832" s="36">
        <f t="shared" si="183"/>
        <v>4742.6</v>
      </c>
      <c r="O832" s="7">
        <f>O833</f>
        <v>0</v>
      </c>
      <c r="P832" s="36">
        <f t="shared" si="173"/>
        <v>4742.6</v>
      </c>
      <c r="Q832" s="7">
        <f>Q833</f>
        <v>0</v>
      </c>
      <c r="R832" s="36">
        <f t="shared" si="174"/>
        <v>4742.6</v>
      </c>
    </row>
    <row r="833" spans="1:18" ht="17.25" customHeight="1">
      <c r="A833" s="62" t="str">
        <f ca="1" t="shared" si="190"/>
        <v>Бюджетные инвестиции</v>
      </c>
      <c r="B833" s="115" t="s">
        <v>417</v>
      </c>
      <c r="C833" s="8" t="s">
        <v>203</v>
      </c>
      <c r="D833" s="8" t="s">
        <v>203</v>
      </c>
      <c r="E833" s="115">
        <v>410</v>
      </c>
      <c r="F833" s="7">
        <f>F834</f>
        <v>4742.6</v>
      </c>
      <c r="G833" s="7">
        <f>G834</f>
        <v>0</v>
      </c>
      <c r="H833" s="36">
        <f t="shared" si="187"/>
        <v>4742.6</v>
      </c>
      <c r="I833" s="7">
        <f>I834</f>
        <v>0</v>
      </c>
      <c r="J833" s="36">
        <f t="shared" si="184"/>
        <v>4742.6</v>
      </c>
      <c r="K833" s="7">
        <f>K834</f>
        <v>0</v>
      </c>
      <c r="L833" s="36">
        <f t="shared" si="182"/>
        <v>4742.6</v>
      </c>
      <c r="M833" s="7">
        <f>M834</f>
        <v>0</v>
      </c>
      <c r="N833" s="36">
        <f t="shared" si="183"/>
        <v>4742.6</v>
      </c>
      <c r="O833" s="7">
        <f>O834</f>
        <v>0</v>
      </c>
      <c r="P833" s="36">
        <f t="shared" si="173"/>
        <v>4742.6</v>
      </c>
      <c r="Q833" s="7">
        <f>Q834</f>
        <v>0</v>
      </c>
      <c r="R833" s="36">
        <f t="shared" si="174"/>
        <v>4742.6</v>
      </c>
    </row>
    <row r="834" spans="1:18" ht="33.75" customHeight="1">
      <c r="A834" s="62" t="str">
        <f ca="1" t="shared" si="190"/>
        <v>Бюджетные инвестиции в объекты капитального строительства муниципальной собственности</v>
      </c>
      <c r="B834" s="115" t="s">
        <v>417</v>
      </c>
      <c r="C834" s="8" t="s">
        <v>203</v>
      </c>
      <c r="D834" s="8" t="s">
        <v>203</v>
      </c>
      <c r="E834" s="115">
        <v>414</v>
      </c>
      <c r="F834" s="7">
        <f>'прил.5'!G1530</f>
        <v>4742.6</v>
      </c>
      <c r="G834" s="7">
        <f>'прил.5'!H1530</f>
        <v>0</v>
      </c>
      <c r="H834" s="36">
        <f t="shared" si="187"/>
        <v>4742.6</v>
      </c>
      <c r="I834" s="7">
        <f>'прил.5'!J1530</f>
        <v>0</v>
      </c>
      <c r="J834" s="36">
        <f t="shared" si="184"/>
        <v>4742.6</v>
      </c>
      <c r="K834" s="7">
        <f>'прил.5'!L1530</f>
        <v>0</v>
      </c>
      <c r="L834" s="36">
        <f t="shared" si="182"/>
        <v>4742.6</v>
      </c>
      <c r="M834" s="7">
        <f>'прил.5'!N1530</f>
        <v>0</v>
      </c>
      <c r="N834" s="36">
        <f t="shared" si="183"/>
        <v>4742.6</v>
      </c>
      <c r="O834" s="7">
        <f>'прил.5'!P1530</f>
        <v>0</v>
      </c>
      <c r="P834" s="36">
        <f t="shared" si="173"/>
        <v>4742.6</v>
      </c>
      <c r="Q834" s="7">
        <f>'прил.5'!R1530</f>
        <v>0</v>
      </c>
      <c r="R834" s="36">
        <f t="shared" si="174"/>
        <v>4742.6</v>
      </c>
    </row>
    <row r="835" spans="1:18" ht="90.75" customHeight="1">
      <c r="A835" s="62" t="str">
        <f ca="1">IF(ISERROR(MATCH(B835,Код_КЦСР,0)),"",INDIRECT(ADDRESS(MATCH(B835,Код_КЦСР,0)+1,2,,,"КЦСР")))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835" s="115" t="s">
        <v>414</v>
      </c>
      <c r="C835" s="8"/>
      <c r="D835" s="1"/>
      <c r="E835" s="115"/>
      <c r="F835" s="7">
        <f>F836+F846</f>
        <v>491829.69999999995</v>
      </c>
      <c r="G835" s="7">
        <f>G836+G846</f>
        <v>0</v>
      </c>
      <c r="H835" s="36">
        <f t="shared" si="187"/>
        <v>491829.69999999995</v>
      </c>
      <c r="I835" s="7">
        <f>I836+I846</f>
        <v>0</v>
      </c>
      <c r="J835" s="36">
        <f t="shared" si="184"/>
        <v>491829.69999999995</v>
      </c>
      <c r="K835" s="7">
        <f>K836+K846</f>
        <v>0</v>
      </c>
      <c r="L835" s="36">
        <f t="shared" si="182"/>
        <v>491829.69999999995</v>
      </c>
      <c r="M835" s="7">
        <f>M836+M846</f>
        <v>0</v>
      </c>
      <c r="N835" s="36">
        <f t="shared" si="183"/>
        <v>491829.69999999995</v>
      </c>
      <c r="O835" s="7">
        <f>O836+O846</f>
        <v>0</v>
      </c>
      <c r="P835" s="36">
        <f t="shared" si="173"/>
        <v>491829.69999999995</v>
      </c>
      <c r="Q835" s="7">
        <f>Q836+Q846</f>
        <v>50182.1</v>
      </c>
      <c r="R835" s="36">
        <f t="shared" si="174"/>
        <v>542011.7999999999</v>
      </c>
    </row>
    <row r="836" spans="1:18" ht="12.75">
      <c r="A836" s="62" t="str">
        <f ca="1">IF(ISERROR(MATCH(C836,Код_Раздел,0)),"",INDIRECT(ADDRESS(MATCH(C836,Код_Раздел,0)+1,2,,,"Раздел")))</f>
        <v>Образование</v>
      </c>
      <c r="B836" s="115" t="s">
        <v>414</v>
      </c>
      <c r="C836" s="8" t="s">
        <v>203</v>
      </c>
      <c r="D836" s="1"/>
      <c r="E836" s="115"/>
      <c r="F836" s="7">
        <f aca="true" t="shared" si="191" ref="F836:Q839">F837</f>
        <v>34239.200000000004</v>
      </c>
      <c r="G836" s="7">
        <f t="shared" si="191"/>
        <v>0</v>
      </c>
      <c r="H836" s="36">
        <f t="shared" si="187"/>
        <v>34239.200000000004</v>
      </c>
      <c r="I836" s="7">
        <f>I837</f>
        <v>0</v>
      </c>
      <c r="J836" s="36">
        <f t="shared" si="184"/>
        <v>34239.200000000004</v>
      </c>
      <c r="K836" s="7">
        <f>K837</f>
        <v>0</v>
      </c>
      <c r="L836" s="36">
        <f t="shared" si="182"/>
        <v>34239.200000000004</v>
      </c>
      <c r="M836" s="7">
        <f>M837</f>
        <v>0</v>
      </c>
      <c r="N836" s="36">
        <f t="shared" si="183"/>
        <v>34239.200000000004</v>
      </c>
      <c r="O836" s="7">
        <f>O837</f>
        <v>0</v>
      </c>
      <c r="P836" s="36">
        <f t="shared" si="173"/>
        <v>34239.200000000004</v>
      </c>
      <c r="Q836" s="7">
        <f>Q837</f>
        <v>0</v>
      </c>
      <c r="R836" s="36">
        <f t="shared" si="174"/>
        <v>34239.200000000004</v>
      </c>
    </row>
    <row r="837" spans="1:18" ht="12.75">
      <c r="A837" s="12" t="s">
        <v>207</v>
      </c>
      <c r="B837" s="115" t="s">
        <v>414</v>
      </c>
      <c r="C837" s="8" t="s">
        <v>203</v>
      </c>
      <c r="D837" s="8" t="s">
        <v>203</v>
      </c>
      <c r="E837" s="115"/>
      <c r="F837" s="7">
        <f t="shared" si="191"/>
        <v>34239.200000000004</v>
      </c>
      <c r="G837" s="7">
        <f t="shared" si="191"/>
        <v>0</v>
      </c>
      <c r="H837" s="36">
        <f t="shared" si="187"/>
        <v>34239.200000000004</v>
      </c>
      <c r="I837" s="7">
        <f>I838+I841</f>
        <v>0</v>
      </c>
      <c r="J837" s="36">
        <f t="shared" si="184"/>
        <v>34239.200000000004</v>
      </c>
      <c r="K837" s="7">
        <f>K838+K841</f>
        <v>0</v>
      </c>
      <c r="L837" s="36">
        <f t="shared" si="182"/>
        <v>34239.200000000004</v>
      </c>
      <c r="M837" s="7">
        <f>M838+M841</f>
        <v>0</v>
      </c>
      <c r="N837" s="36">
        <f t="shared" si="183"/>
        <v>34239.200000000004</v>
      </c>
      <c r="O837" s="7">
        <f>O838+O841</f>
        <v>0</v>
      </c>
      <c r="P837" s="36">
        <f t="shared" si="173"/>
        <v>34239.200000000004</v>
      </c>
      <c r="Q837" s="7">
        <f>Q838+Q841</f>
        <v>0</v>
      </c>
      <c r="R837" s="36">
        <f t="shared" si="174"/>
        <v>34239.200000000004</v>
      </c>
    </row>
    <row r="838" spans="1:18" ht="12.75">
      <c r="A838" s="62" t="str">
        <f aca="true" t="shared" si="192" ref="A838:A845">IF(ISERROR(MATCH(E838,Код_КВР,0)),"",INDIRECT(ADDRESS(MATCH(E838,Код_КВР,0)+1,2,,,"КВР")))</f>
        <v>Социальное обеспечение и иные выплаты населению</v>
      </c>
      <c r="B838" s="115" t="s">
        <v>414</v>
      </c>
      <c r="C838" s="8" t="s">
        <v>203</v>
      </c>
      <c r="D838" s="8" t="s">
        <v>203</v>
      </c>
      <c r="E838" s="115">
        <v>300</v>
      </c>
      <c r="F838" s="7">
        <f t="shared" si="191"/>
        <v>34239.200000000004</v>
      </c>
      <c r="G838" s="7">
        <f t="shared" si="191"/>
        <v>0</v>
      </c>
      <c r="H838" s="36">
        <f t="shared" si="187"/>
        <v>34239.200000000004</v>
      </c>
      <c r="I838" s="7">
        <f t="shared" si="191"/>
        <v>-3297.1</v>
      </c>
      <c r="J838" s="36">
        <f t="shared" si="184"/>
        <v>30942.100000000006</v>
      </c>
      <c r="K838" s="7">
        <f t="shared" si="191"/>
        <v>0</v>
      </c>
      <c r="L838" s="36">
        <f t="shared" si="182"/>
        <v>30942.100000000006</v>
      </c>
      <c r="M838" s="7">
        <f t="shared" si="191"/>
        <v>0</v>
      </c>
      <c r="N838" s="36">
        <f t="shared" si="183"/>
        <v>30942.100000000006</v>
      </c>
      <c r="O838" s="7">
        <f t="shared" si="191"/>
        <v>0</v>
      </c>
      <c r="P838" s="36">
        <f t="shared" si="173"/>
        <v>30942.100000000006</v>
      </c>
      <c r="Q838" s="7">
        <f t="shared" si="191"/>
        <v>0</v>
      </c>
      <c r="R838" s="36">
        <f t="shared" si="174"/>
        <v>30942.100000000006</v>
      </c>
    </row>
    <row r="839" spans="1:18" ht="36.75" customHeight="1">
      <c r="A839" s="62" t="str">
        <f ca="1" t="shared" si="192"/>
        <v>Социальные выплаты гражданам, кроме публичных нормативных социальных выплат</v>
      </c>
      <c r="B839" s="115" t="s">
        <v>414</v>
      </c>
      <c r="C839" s="8" t="s">
        <v>203</v>
      </c>
      <c r="D839" s="8" t="s">
        <v>203</v>
      </c>
      <c r="E839" s="115">
        <v>320</v>
      </c>
      <c r="F839" s="7">
        <f t="shared" si="191"/>
        <v>34239.200000000004</v>
      </c>
      <c r="G839" s="7">
        <f t="shared" si="191"/>
        <v>0</v>
      </c>
      <c r="H839" s="36">
        <f t="shared" si="187"/>
        <v>34239.200000000004</v>
      </c>
      <c r="I839" s="7">
        <f t="shared" si="191"/>
        <v>-3297.1</v>
      </c>
      <c r="J839" s="36">
        <f t="shared" si="184"/>
        <v>30942.100000000006</v>
      </c>
      <c r="K839" s="7">
        <f t="shared" si="191"/>
        <v>0</v>
      </c>
      <c r="L839" s="36">
        <f t="shared" si="182"/>
        <v>30942.100000000006</v>
      </c>
      <c r="M839" s="7">
        <f t="shared" si="191"/>
        <v>0</v>
      </c>
      <c r="N839" s="36">
        <f t="shared" si="183"/>
        <v>30942.100000000006</v>
      </c>
      <c r="O839" s="7">
        <f t="shared" si="191"/>
        <v>0</v>
      </c>
      <c r="P839" s="36">
        <f t="shared" si="173"/>
        <v>30942.100000000006</v>
      </c>
      <c r="Q839" s="7">
        <f t="shared" si="191"/>
        <v>0</v>
      </c>
      <c r="R839" s="36">
        <f t="shared" si="174"/>
        <v>30942.100000000006</v>
      </c>
    </row>
    <row r="840" spans="1:18" ht="36" customHeight="1">
      <c r="A840" s="62" t="str">
        <f ca="1" t="shared" si="192"/>
        <v>Приобретение товаров, работ, услуг в пользу граждан в целях их социального обеспечения</v>
      </c>
      <c r="B840" s="115" t="s">
        <v>414</v>
      </c>
      <c r="C840" s="8" t="s">
        <v>203</v>
      </c>
      <c r="D840" s="8" t="s">
        <v>203</v>
      </c>
      <c r="E840" s="115">
        <v>323</v>
      </c>
      <c r="F840" s="7">
        <f>'прил.5'!G1252</f>
        <v>34239.200000000004</v>
      </c>
      <c r="G840" s="7">
        <f>'прил.5'!H1252</f>
        <v>0</v>
      </c>
      <c r="H840" s="36">
        <f t="shared" si="187"/>
        <v>34239.200000000004</v>
      </c>
      <c r="I840" s="7">
        <f>'прил.5'!J1252</f>
        <v>-3297.1</v>
      </c>
      <c r="J840" s="36">
        <f t="shared" si="184"/>
        <v>30942.100000000006</v>
      </c>
      <c r="K840" s="7">
        <f>'прил.5'!L1252</f>
        <v>0</v>
      </c>
      <c r="L840" s="36">
        <f t="shared" si="182"/>
        <v>30942.100000000006</v>
      </c>
      <c r="M840" s="7">
        <f>'прил.5'!N1252</f>
        <v>0</v>
      </c>
      <c r="N840" s="36">
        <f t="shared" si="183"/>
        <v>30942.100000000006</v>
      </c>
      <c r="O840" s="7">
        <f>'прил.5'!P1252</f>
        <v>0</v>
      </c>
      <c r="P840" s="36">
        <f t="shared" si="173"/>
        <v>30942.100000000006</v>
      </c>
      <c r="Q840" s="7">
        <f>'прил.5'!R1252</f>
        <v>0</v>
      </c>
      <c r="R840" s="36">
        <f t="shared" si="174"/>
        <v>30942.100000000006</v>
      </c>
    </row>
    <row r="841" spans="1:18" ht="35.25" customHeight="1">
      <c r="A841" s="62" t="str">
        <f ca="1" t="shared" si="192"/>
        <v>Предоставление субсидий бюджетным, автономным учреждениям и иным некоммерческим организациям</v>
      </c>
      <c r="B841" s="115" t="s">
        <v>414</v>
      </c>
      <c r="C841" s="8" t="s">
        <v>203</v>
      </c>
      <c r="D841" s="8" t="s">
        <v>203</v>
      </c>
      <c r="E841" s="115">
        <v>600</v>
      </c>
      <c r="F841" s="7"/>
      <c r="G841" s="7"/>
      <c r="H841" s="36"/>
      <c r="I841" s="7">
        <f>I842+I844</f>
        <v>3297.1000000000004</v>
      </c>
      <c r="J841" s="36">
        <f t="shared" si="184"/>
        <v>3297.1000000000004</v>
      </c>
      <c r="K841" s="7">
        <f>K842+K844</f>
        <v>0</v>
      </c>
      <c r="L841" s="36">
        <f t="shared" si="182"/>
        <v>3297.1000000000004</v>
      </c>
      <c r="M841" s="7">
        <f>M842+M844</f>
        <v>0</v>
      </c>
      <c r="N841" s="36">
        <f t="shared" si="183"/>
        <v>3297.1000000000004</v>
      </c>
      <c r="O841" s="7">
        <f>O842+O844</f>
        <v>0</v>
      </c>
      <c r="P841" s="36">
        <f t="shared" si="173"/>
        <v>3297.1000000000004</v>
      </c>
      <c r="Q841" s="7">
        <f>Q842+Q844</f>
        <v>0</v>
      </c>
      <c r="R841" s="36">
        <f t="shared" si="174"/>
        <v>3297.1000000000004</v>
      </c>
    </row>
    <row r="842" spans="1:18" ht="12.75">
      <c r="A842" s="62" t="str">
        <f ca="1" t="shared" si="192"/>
        <v>Субсидии бюджетным учреждениям</v>
      </c>
      <c r="B842" s="115" t="s">
        <v>414</v>
      </c>
      <c r="C842" s="8" t="s">
        <v>203</v>
      </c>
      <c r="D842" s="8" t="s">
        <v>203</v>
      </c>
      <c r="E842" s="115">
        <v>610</v>
      </c>
      <c r="F842" s="7"/>
      <c r="G842" s="7"/>
      <c r="H842" s="36"/>
      <c r="I842" s="7">
        <f>I843</f>
        <v>454.29999999999995</v>
      </c>
      <c r="J842" s="36">
        <f t="shared" si="184"/>
        <v>454.29999999999995</v>
      </c>
      <c r="K842" s="7">
        <f>K843</f>
        <v>0</v>
      </c>
      <c r="L842" s="36">
        <f t="shared" si="182"/>
        <v>454.29999999999995</v>
      </c>
      <c r="M842" s="7">
        <f>M843</f>
        <v>0</v>
      </c>
      <c r="N842" s="36">
        <f t="shared" si="183"/>
        <v>454.29999999999995</v>
      </c>
      <c r="O842" s="7">
        <f>O843</f>
        <v>0</v>
      </c>
      <c r="P842" s="36">
        <f aca="true" t="shared" si="193" ref="P842:P913">N842+O842</f>
        <v>454.29999999999995</v>
      </c>
      <c r="Q842" s="7">
        <f>Q843</f>
        <v>0</v>
      </c>
      <c r="R842" s="36">
        <f aca="true" t="shared" si="194" ref="R842:R910">P842+Q842</f>
        <v>454.29999999999995</v>
      </c>
    </row>
    <row r="843" spans="1:18" ht="21.95" customHeight="1">
      <c r="A843" s="62" t="str">
        <f ca="1" t="shared" si="192"/>
        <v>Субсидии бюджетным учреждениям на иные цели</v>
      </c>
      <c r="B843" s="115" t="s">
        <v>414</v>
      </c>
      <c r="C843" s="8" t="s">
        <v>203</v>
      </c>
      <c r="D843" s="8" t="s">
        <v>203</v>
      </c>
      <c r="E843" s="115">
        <v>612</v>
      </c>
      <c r="F843" s="7"/>
      <c r="G843" s="7"/>
      <c r="H843" s="36"/>
      <c r="I843" s="7">
        <f>'прил.5'!J923+'прил.5'!J1151</f>
        <v>454.29999999999995</v>
      </c>
      <c r="J843" s="36">
        <f t="shared" si="184"/>
        <v>454.29999999999995</v>
      </c>
      <c r="K843" s="7">
        <f>'прил.5'!L923+'прил.5'!L1151</f>
        <v>0</v>
      </c>
      <c r="L843" s="36">
        <f t="shared" si="182"/>
        <v>454.29999999999995</v>
      </c>
      <c r="M843" s="7">
        <f>'прил.5'!N923+'прил.5'!N1151</f>
        <v>0</v>
      </c>
      <c r="N843" s="36">
        <f t="shared" si="183"/>
        <v>454.29999999999995</v>
      </c>
      <c r="O843" s="7">
        <f>'прил.5'!P923+'прил.5'!P1151</f>
        <v>0</v>
      </c>
      <c r="P843" s="36">
        <f t="shared" si="193"/>
        <v>454.29999999999995</v>
      </c>
      <c r="Q843" s="7">
        <f>'прил.5'!R923+'прил.5'!R1151</f>
        <v>0</v>
      </c>
      <c r="R843" s="36">
        <f t="shared" si="194"/>
        <v>454.29999999999995</v>
      </c>
    </row>
    <row r="844" spans="1:18" ht="12.75">
      <c r="A844" s="62" t="str">
        <f ca="1" t="shared" si="192"/>
        <v>Субсидии автономным учреждениям</v>
      </c>
      <c r="B844" s="115" t="s">
        <v>414</v>
      </c>
      <c r="C844" s="8" t="s">
        <v>203</v>
      </c>
      <c r="D844" s="8" t="s">
        <v>203</v>
      </c>
      <c r="E844" s="115">
        <v>620</v>
      </c>
      <c r="F844" s="7"/>
      <c r="G844" s="7"/>
      <c r="H844" s="36"/>
      <c r="I844" s="7">
        <f>I845</f>
        <v>2842.8</v>
      </c>
      <c r="J844" s="36">
        <f t="shared" si="184"/>
        <v>2842.8</v>
      </c>
      <c r="K844" s="7">
        <f>K845</f>
        <v>0</v>
      </c>
      <c r="L844" s="36">
        <f t="shared" si="182"/>
        <v>2842.8</v>
      </c>
      <c r="M844" s="7">
        <f>M845</f>
        <v>0</v>
      </c>
      <c r="N844" s="36">
        <f t="shared" si="183"/>
        <v>2842.8</v>
      </c>
      <c r="O844" s="7">
        <f>O845</f>
        <v>0</v>
      </c>
      <c r="P844" s="36">
        <f t="shared" si="193"/>
        <v>2842.8</v>
      </c>
      <c r="Q844" s="7">
        <f>Q845</f>
        <v>0</v>
      </c>
      <c r="R844" s="36">
        <f t="shared" si="194"/>
        <v>2842.8</v>
      </c>
    </row>
    <row r="845" spans="1:18" ht="12.75">
      <c r="A845" s="62" t="str">
        <f ca="1" t="shared" si="192"/>
        <v>Субсидии автономным учреждениям на иные цели</v>
      </c>
      <c r="B845" s="115" t="s">
        <v>414</v>
      </c>
      <c r="C845" s="8" t="s">
        <v>203</v>
      </c>
      <c r="D845" s="8" t="s">
        <v>203</v>
      </c>
      <c r="E845" s="115">
        <v>622</v>
      </c>
      <c r="F845" s="7"/>
      <c r="G845" s="7"/>
      <c r="H845" s="36"/>
      <c r="I845" s="7">
        <f>'прил.5'!J693</f>
        <v>2842.8</v>
      </c>
      <c r="J845" s="36">
        <f t="shared" si="184"/>
        <v>2842.8</v>
      </c>
      <c r="K845" s="7">
        <f>'прил.5'!L693</f>
        <v>0</v>
      </c>
      <c r="L845" s="36">
        <f t="shared" si="182"/>
        <v>2842.8</v>
      </c>
      <c r="M845" s="7">
        <f>'прил.5'!N693</f>
        <v>0</v>
      </c>
      <c r="N845" s="36">
        <f t="shared" si="183"/>
        <v>2842.8</v>
      </c>
      <c r="O845" s="7">
        <f>'прил.5'!P693</f>
        <v>0</v>
      </c>
      <c r="P845" s="36">
        <f t="shared" si="193"/>
        <v>2842.8</v>
      </c>
      <c r="Q845" s="7">
        <f>'прил.5'!R693</f>
        <v>0</v>
      </c>
      <c r="R845" s="36">
        <f t="shared" si="194"/>
        <v>2842.8</v>
      </c>
    </row>
    <row r="846" spans="1:18" ht="12.75">
      <c r="A846" s="62" t="str">
        <f ca="1">IF(ISERROR(MATCH(C846,Код_Раздел,0)),"",INDIRECT(ADDRESS(MATCH(C846,Код_Раздел,0)+1,2,,,"Раздел")))</f>
        <v>Социальная политика</v>
      </c>
      <c r="B846" s="115" t="s">
        <v>414</v>
      </c>
      <c r="C846" s="8" t="s">
        <v>196</v>
      </c>
      <c r="D846" s="1"/>
      <c r="E846" s="115"/>
      <c r="F846" s="7">
        <f>F847+F852+F857</f>
        <v>457590.49999999994</v>
      </c>
      <c r="G846" s="7">
        <f>G847+G852+G857</f>
        <v>0</v>
      </c>
      <c r="H846" s="36">
        <f t="shared" si="187"/>
        <v>457590.49999999994</v>
      </c>
      <c r="I846" s="7">
        <f>I847+I852+I857</f>
        <v>0</v>
      </c>
      <c r="J846" s="36">
        <f t="shared" si="184"/>
        <v>457590.49999999994</v>
      </c>
      <c r="K846" s="7">
        <f>K847+K852+K857</f>
        <v>0</v>
      </c>
      <c r="L846" s="36">
        <f t="shared" si="182"/>
        <v>457590.49999999994</v>
      </c>
      <c r="M846" s="7">
        <f>M847+M852+M857</f>
        <v>0</v>
      </c>
      <c r="N846" s="36">
        <f t="shared" si="183"/>
        <v>457590.49999999994</v>
      </c>
      <c r="O846" s="7">
        <f>O847+O852+O857</f>
        <v>0</v>
      </c>
      <c r="P846" s="36">
        <f t="shared" si="193"/>
        <v>457590.49999999994</v>
      </c>
      <c r="Q846" s="7">
        <f>Q847+Q852+Q857</f>
        <v>50182.1</v>
      </c>
      <c r="R846" s="36">
        <f t="shared" si="194"/>
        <v>507772.5999999999</v>
      </c>
    </row>
    <row r="847" spans="1:18" ht="12.75">
      <c r="A847" s="12" t="s">
        <v>267</v>
      </c>
      <c r="B847" s="115" t="s">
        <v>414</v>
      </c>
      <c r="C847" s="8" t="s">
        <v>196</v>
      </c>
      <c r="D847" s="8" t="s">
        <v>222</v>
      </c>
      <c r="E847" s="115"/>
      <c r="F847" s="7">
        <f>F848</f>
        <v>114241.1</v>
      </c>
      <c r="G847" s="7">
        <f>G848</f>
        <v>0</v>
      </c>
      <c r="H847" s="36">
        <f t="shared" si="187"/>
        <v>114241.1</v>
      </c>
      <c r="I847" s="7">
        <f>I848</f>
        <v>0</v>
      </c>
      <c r="J847" s="36">
        <f t="shared" si="184"/>
        <v>114241.1</v>
      </c>
      <c r="K847" s="7">
        <f>K848</f>
        <v>0</v>
      </c>
      <c r="L847" s="36">
        <f t="shared" si="182"/>
        <v>114241.1</v>
      </c>
      <c r="M847" s="7">
        <f>M848</f>
        <v>0</v>
      </c>
      <c r="N847" s="36">
        <f t="shared" si="183"/>
        <v>114241.1</v>
      </c>
      <c r="O847" s="7">
        <f>O848</f>
        <v>365.3</v>
      </c>
      <c r="P847" s="36">
        <f t="shared" si="193"/>
        <v>114606.40000000001</v>
      </c>
      <c r="Q847" s="7">
        <f>Q848</f>
        <v>-14250.1</v>
      </c>
      <c r="R847" s="36">
        <f t="shared" si="194"/>
        <v>100356.3</v>
      </c>
    </row>
    <row r="848" spans="1:18" ht="33">
      <c r="A848" s="62" t="str">
        <f ca="1">IF(ISERROR(MATCH(E848,Код_КВР,0)),"",INDIRECT(ADDRESS(MATCH(E848,Код_КВР,0)+1,2,,,"КВР")))</f>
        <v>Предоставление субсидий бюджетным, автономным учреждениям и иным некоммерческим организациям</v>
      </c>
      <c r="B848" s="115" t="s">
        <v>414</v>
      </c>
      <c r="C848" s="8" t="s">
        <v>196</v>
      </c>
      <c r="D848" s="8" t="s">
        <v>222</v>
      </c>
      <c r="E848" s="115">
        <v>600</v>
      </c>
      <c r="F848" s="7">
        <f>F849</f>
        <v>114241.1</v>
      </c>
      <c r="G848" s="7">
        <f>G849</f>
        <v>0</v>
      </c>
      <c r="H848" s="36">
        <f t="shared" si="187"/>
        <v>114241.1</v>
      </c>
      <c r="I848" s="7">
        <f>I849</f>
        <v>0</v>
      </c>
      <c r="J848" s="36">
        <f t="shared" si="184"/>
        <v>114241.1</v>
      </c>
      <c r="K848" s="7">
        <f>K849</f>
        <v>0</v>
      </c>
      <c r="L848" s="36">
        <f t="shared" si="182"/>
        <v>114241.1</v>
      </c>
      <c r="M848" s="7">
        <f>M849</f>
        <v>0</v>
      </c>
      <c r="N848" s="36">
        <f t="shared" si="183"/>
        <v>114241.1</v>
      </c>
      <c r="O848" s="7">
        <f>O849</f>
        <v>365.3</v>
      </c>
      <c r="P848" s="36">
        <f t="shared" si="193"/>
        <v>114606.40000000001</v>
      </c>
      <c r="Q848" s="7">
        <f>Q849</f>
        <v>-14250.1</v>
      </c>
      <c r="R848" s="36">
        <f t="shared" si="194"/>
        <v>100356.3</v>
      </c>
    </row>
    <row r="849" spans="1:18" ht="12.75">
      <c r="A849" s="62" t="str">
        <f ca="1">IF(ISERROR(MATCH(E849,Код_КВР,0)),"",INDIRECT(ADDRESS(MATCH(E849,Код_КВР,0)+1,2,,,"КВР")))</f>
        <v>Субсидии бюджетным учреждениям</v>
      </c>
      <c r="B849" s="115" t="s">
        <v>414</v>
      </c>
      <c r="C849" s="8" t="s">
        <v>196</v>
      </c>
      <c r="D849" s="8" t="s">
        <v>222</v>
      </c>
      <c r="E849" s="115">
        <v>610</v>
      </c>
      <c r="F849" s="7">
        <f>SUM(F850:F851)</f>
        <v>114241.1</v>
      </c>
      <c r="G849" s="7">
        <f>SUM(G850:G851)</f>
        <v>0</v>
      </c>
      <c r="H849" s="36">
        <f t="shared" si="187"/>
        <v>114241.1</v>
      </c>
      <c r="I849" s="7">
        <f>SUM(I850:I851)</f>
        <v>0</v>
      </c>
      <c r="J849" s="36">
        <f t="shared" si="184"/>
        <v>114241.1</v>
      </c>
      <c r="K849" s="7">
        <f>SUM(K850:K851)</f>
        <v>0</v>
      </c>
      <c r="L849" s="36">
        <f t="shared" si="182"/>
        <v>114241.1</v>
      </c>
      <c r="M849" s="7">
        <f>SUM(M850:M851)</f>
        <v>0</v>
      </c>
      <c r="N849" s="36">
        <f t="shared" si="183"/>
        <v>114241.1</v>
      </c>
      <c r="O849" s="7">
        <f>SUM(O850:O851)</f>
        <v>365.3</v>
      </c>
      <c r="P849" s="36">
        <f t="shared" si="193"/>
        <v>114606.40000000001</v>
      </c>
      <c r="Q849" s="7">
        <f>SUM(Q850:Q851)</f>
        <v>-14250.1</v>
      </c>
      <c r="R849" s="36">
        <f t="shared" si="194"/>
        <v>100356.3</v>
      </c>
    </row>
    <row r="850" spans="1:18" ht="51.75" customHeight="1">
      <c r="A850" s="62" t="str">
        <f ca="1">IF(ISERROR(MATCH(E850,Код_КВР,0)),"",INDIRECT(ADDRESS(MATCH(E850,Код_КВР,0)+1,2,,,"КВР")))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0" s="115" t="s">
        <v>414</v>
      </c>
      <c r="C850" s="8" t="s">
        <v>196</v>
      </c>
      <c r="D850" s="8" t="s">
        <v>222</v>
      </c>
      <c r="E850" s="115">
        <v>611</v>
      </c>
      <c r="F850" s="7">
        <f>'прил.5'!G1263</f>
        <v>110548.1</v>
      </c>
      <c r="G850" s="7">
        <f>'прил.5'!H1263</f>
        <v>0</v>
      </c>
      <c r="H850" s="36">
        <f t="shared" si="187"/>
        <v>110548.1</v>
      </c>
      <c r="I850" s="7">
        <f>'прил.5'!J1263</f>
        <v>0</v>
      </c>
      <c r="J850" s="36">
        <f t="shared" si="184"/>
        <v>110548.1</v>
      </c>
      <c r="K850" s="7">
        <f>'прил.5'!L1263</f>
        <v>0</v>
      </c>
      <c r="L850" s="36">
        <f t="shared" si="182"/>
        <v>110548.1</v>
      </c>
      <c r="M850" s="7">
        <f>'прил.5'!N1263</f>
        <v>0</v>
      </c>
      <c r="N850" s="36">
        <f t="shared" si="183"/>
        <v>110548.1</v>
      </c>
      <c r="O850" s="7">
        <f>'прил.5'!P1263</f>
        <v>0</v>
      </c>
      <c r="P850" s="36">
        <f t="shared" si="193"/>
        <v>110548.1</v>
      </c>
      <c r="Q850" s="7">
        <f>'прил.5'!R1263</f>
        <v>-13614</v>
      </c>
      <c r="R850" s="36">
        <f t="shared" si="194"/>
        <v>96934.1</v>
      </c>
    </row>
    <row r="851" spans="1:18" ht="12.75">
      <c r="A851" s="62" t="str">
        <f ca="1">IF(ISERROR(MATCH(E851,Код_КВР,0)),"",INDIRECT(ADDRESS(MATCH(E851,Код_КВР,0)+1,2,,,"КВР")))</f>
        <v>Субсидии бюджетным учреждениям на иные цели</v>
      </c>
      <c r="B851" s="115" t="s">
        <v>414</v>
      </c>
      <c r="C851" s="8" t="s">
        <v>196</v>
      </c>
      <c r="D851" s="8" t="s">
        <v>222</v>
      </c>
      <c r="E851" s="115">
        <v>612</v>
      </c>
      <c r="F851" s="7">
        <f>'прил.5'!G1264</f>
        <v>3693</v>
      </c>
      <c r="G851" s="7">
        <f>'прил.5'!H1264</f>
        <v>0</v>
      </c>
      <c r="H851" s="36">
        <f t="shared" si="187"/>
        <v>3693</v>
      </c>
      <c r="I851" s="7">
        <f>'прил.5'!J1264</f>
        <v>0</v>
      </c>
      <c r="J851" s="36">
        <f t="shared" si="184"/>
        <v>3693</v>
      </c>
      <c r="K851" s="7">
        <f>'прил.5'!L1264</f>
        <v>0</v>
      </c>
      <c r="L851" s="36">
        <f t="shared" si="182"/>
        <v>3693</v>
      </c>
      <c r="M851" s="7">
        <f>'прил.5'!N1264</f>
        <v>0</v>
      </c>
      <c r="N851" s="36">
        <f t="shared" si="183"/>
        <v>3693</v>
      </c>
      <c r="O851" s="7">
        <f>'прил.5'!P1264</f>
        <v>365.3</v>
      </c>
      <c r="P851" s="36">
        <f t="shared" si="193"/>
        <v>4058.3</v>
      </c>
      <c r="Q851" s="7">
        <f>'прил.5'!R1264</f>
        <v>-636.1</v>
      </c>
      <c r="R851" s="36">
        <f t="shared" si="194"/>
        <v>3422.2000000000003</v>
      </c>
    </row>
    <row r="852" spans="1:18" ht="12.75">
      <c r="A852" s="12" t="s">
        <v>187</v>
      </c>
      <c r="B852" s="115" t="s">
        <v>414</v>
      </c>
      <c r="C852" s="8" t="s">
        <v>196</v>
      </c>
      <c r="D852" s="8" t="s">
        <v>223</v>
      </c>
      <c r="E852" s="115"/>
      <c r="F852" s="7">
        <f>F853</f>
        <v>336360.6</v>
      </c>
      <c r="G852" s="7">
        <f>G853</f>
        <v>0</v>
      </c>
      <c r="H852" s="36">
        <f t="shared" si="187"/>
        <v>336360.6</v>
      </c>
      <c r="I852" s="7">
        <f>I853</f>
        <v>0</v>
      </c>
      <c r="J852" s="36">
        <f t="shared" si="184"/>
        <v>336360.6</v>
      </c>
      <c r="K852" s="7">
        <f>K853</f>
        <v>0</v>
      </c>
      <c r="L852" s="36">
        <f t="shared" si="182"/>
        <v>336360.6</v>
      </c>
      <c r="M852" s="7">
        <f>M853</f>
        <v>0</v>
      </c>
      <c r="N852" s="36">
        <f t="shared" si="183"/>
        <v>336360.6</v>
      </c>
      <c r="O852" s="7">
        <f>O853</f>
        <v>-365.3</v>
      </c>
      <c r="P852" s="36">
        <f t="shared" si="193"/>
        <v>335995.3</v>
      </c>
      <c r="Q852" s="7">
        <f>Q853</f>
        <v>65966.9</v>
      </c>
      <c r="R852" s="36">
        <f t="shared" si="194"/>
        <v>401962.19999999995</v>
      </c>
    </row>
    <row r="853" spans="1:18" ht="12.75">
      <c r="A853" s="62" t="str">
        <f ca="1">IF(ISERROR(MATCH(E853,Код_КВР,0)),"",INDIRECT(ADDRESS(MATCH(E853,Код_КВР,0)+1,2,,,"КВР")))</f>
        <v>Социальное обеспечение и иные выплаты населению</v>
      </c>
      <c r="B853" s="115" t="s">
        <v>414</v>
      </c>
      <c r="C853" s="8" t="s">
        <v>196</v>
      </c>
      <c r="D853" s="8" t="s">
        <v>223</v>
      </c>
      <c r="E853" s="115">
        <v>300</v>
      </c>
      <c r="F853" s="7">
        <f>F854</f>
        <v>336360.6</v>
      </c>
      <c r="G853" s="7">
        <f>G854</f>
        <v>0</v>
      </c>
      <c r="H853" s="36">
        <f t="shared" si="187"/>
        <v>336360.6</v>
      </c>
      <c r="I853" s="7">
        <f>I854</f>
        <v>0</v>
      </c>
      <c r="J853" s="36">
        <f t="shared" si="184"/>
        <v>336360.6</v>
      </c>
      <c r="K853" s="7">
        <f>K854</f>
        <v>0</v>
      </c>
      <c r="L853" s="36">
        <f t="shared" si="182"/>
        <v>336360.6</v>
      </c>
      <c r="M853" s="7">
        <f>M854</f>
        <v>0</v>
      </c>
      <c r="N853" s="36">
        <f t="shared" si="183"/>
        <v>336360.6</v>
      </c>
      <c r="O853" s="7">
        <f>O854</f>
        <v>-365.3</v>
      </c>
      <c r="P853" s="36">
        <f t="shared" si="193"/>
        <v>335995.3</v>
      </c>
      <c r="Q853" s="7">
        <f>Q854</f>
        <v>65966.9</v>
      </c>
      <c r="R853" s="36">
        <f t="shared" si="194"/>
        <v>401962.19999999995</v>
      </c>
    </row>
    <row r="854" spans="1:18" ht="36.75" customHeight="1">
      <c r="A854" s="62" t="str">
        <f ca="1">IF(ISERROR(MATCH(E854,Код_КВР,0)),"",INDIRECT(ADDRESS(MATCH(E854,Код_КВР,0)+1,2,,,"КВР")))</f>
        <v>Социальные выплаты гражданам, кроме публичных нормативных социальных выплат</v>
      </c>
      <c r="B854" s="115" t="s">
        <v>414</v>
      </c>
      <c r="C854" s="8" t="s">
        <v>196</v>
      </c>
      <c r="D854" s="8" t="s">
        <v>223</v>
      </c>
      <c r="E854" s="115">
        <v>320</v>
      </c>
      <c r="F854" s="7">
        <f>SUM(F855:F856)</f>
        <v>336360.6</v>
      </c>
      <c r="G854" s="7">
        <f>SUM(G855:G856)</f>
        <v>0</v>
      </c>
      <c r="H854" s="36">
        <f t="shared" si="187"/>
        <v>336360.6</v>
      </c>
      <c r="I854" s="7">
        <f>SUM(I855:I856)</f>
        <v>0</v>
      </c>
      <c r="J854" s="36">
        <f t="shared" si="184"/>
        <v>336360.6</v>
      </c>
      <c r="K854" s="7">
        <f>SUM(K855:K856)</f>
        <v>0</v>
      </c>
      <c r="L854" s="36">
        <f t="shared" si="182"/>
        <v>336360.6</v>
      </c>
      <c r="M854" s="7">
        <f>SUM(M855:M856)</f>
        <v>0</v>
      </c>
      <c r="N854" s="36">
        <f t="shared" si="183"/>
        <v>336360.6</v>
      </c>
      <c r="O854" s="7">
        <f>SUM(O855:O856)</f>
        <v>-365.3</v>
      </c>
      <c r="P854" s="36">
        <f t="shared" si="193"/>
        <v>335995.3</v>
      </c>
      <c r="Q854" s="7">
        <f>SUM(Q855:Q856)</f>
        <v>65966.9</v>
      </c>
      <c r="R854" s="36">
        <f t="shared" si="194"/>
        <v>401962.19999999995</v>
      </c>
    </row>
    <row r="855" spans="1:18" ht="33">
      <c r="A855" s="62" t="str">
        <f ca="1">IF(ISERROR(MATCH(E855,Код_КВР,0)),"",INDIRECT(ADDRESS(MATCH(E855,Код_КВР,0)+1,2,,,"КВР")))</f>
        <v>Пособия, компенсации и иные социальные выплаты гражданам, кроме публичных нормативных обязательств</v>
      </c>
      <c r="B855" s="115" t="s">
        <v>414</v>
      </c>
      <c r="C855" s="8" t="s">
        <v>196</v>
      </c>
      <c r="D855" s="8" t="s">
        <v>223</v>
      </c>
      <c r="E855" s="115">
        <v>321</v>
      </c>
      <c r="F855" s="7">
        <f>'прил.5'!G1319</f>
        <v>334837</v>
      </c>
      <c r="G855" s="7">
        <f>'прил.5'!H1319</f>
        <v>0</v>
      </c>
      <c r="H855" s="36">
        <f t="shared" si="187"/>
        <v>334837</v>
      </c>
      <c r="I855" s="7">
        <f>'прил.5'!J1319</f>
        <v>0</v>
      </c>
      <c r="J855" s="36">
        <f t="shared" si="184"/>
        <v>334837</v>
      </c>
      <c r="K855" s="7">
        <f>'прил.5'!L1319</f>
        <v>0</v>
      </c>
      <c r="L855" s="36">
        <f t="shared" si="182"/>
        <v>334837</v>
      </c>
      <c r="M855" s="7">
        <f>'прил.5'!N1319</f>
        <v>0</v>
      </c>
      <c r="N855" s="36">
        <f t="shared" si="183"/>
        <v>334837</v>
      </c>
      <c r="O855" s="7">
        <f>'прил.5'!P1319</f>
        <v>-365.3</v>
      </c>
      <c r="P855" s="36">
        <f t="shared" si="193"/>
        <v>334471.7</v>
      </c>
      <c r="Q855" s="7">
        <f>'прил.5'!R1319</f>
        <v>65966.9</v>
      </c>
      <c r="R855" s="36">
        <f t="shared" si="194"/>
        <v>400438.6</v>
      </c>
    </row>
    <row r="856" spans="1:18" ht="33">
      <c r="A856" s="62" t="str">
        <f ca="1">IF(ISERROR(MATCH(E856,Код_КВР,0)),"",INDIRECT(ADDRESS(MATCH(E856,Код_КВР,0)+1,2,,,"КВР")))</f>
        <v>Приобретение товаров, работ, услуг в пользу граждан в целях их социального обеспечения</v>
      </c>
      <c r="B856" s="115" t="s">
        <v>414</v>
      </c>
      <c r="C856" s="8" t="s">
        <v>196</v>
      </c>
      <c r="D856" s="8" t="s">
        <v>223</v>
      </c>
      <c r="E856" s="115">
        <v>323</v>
      </c>
      <c r="F856" s="7">
        <f>'прил.5'!G1320</f>
        <v>1523.6</v>
      </c>
      <c r="G856" s="7">
        <f>'прил.5'!H1320</f>
        <v>0</v>
      </c>
      <c r="H856" s="36">
        <f t="shared" si="187"/>
        <v>1523.6</v>
      </c>
      <c r="I856" s="7">
        <f>'прил.5'!J1320</f>
        <v>0</v>
      </c>
      <c r="J856" s="36">
        <f t="shared" si="184"/>
        <v>1523.6</v>
      </c>
      <c r="K856" s="7">
        <f>'прил.5'!L1320</f>
        <v>0</v>
      </c>
      <c r="L856" s="36">
        <f t="shared" si="182"/>
        <v>1523.6</v>
      </c>
      <c r="M856" s="7">
        <f>'прил.5'!N1320</f>
        <v>0</v>
      </c>
      <c r="N856" s="36">
        <f t="shared" si="183"/>
        <v>1523.6</v>
      </c>
      <c r="O856" s="7">
        <f>'прил.5'!P1320</f>
        <v>0</v>
      </c>
      <c r="P856" s="36">
        <f t="shared" si="193"/>
        <v>1523.6</v>
      </c>
      <c r="Q856" s="7">
        <f>'прил.5'!R1320</f>
        <v>0</v>
      </c>
      <c r="R856" s="36">
        <f t="shared" si="194"/>
        <v>1523.6</v>
      </c>
    </row>
    <row r="857" spans="1:18" ht="12.75">
      <c r="A857" s="12" t="s">
        <v>197</v>
      </c>
      <c r="B857" s="115" t="s">
        <v>414</v>
      </c>
      <c r="C857" s="8" t="s">
        <v>196</v>
      </c>
      <c r="D857" s="8" t="s">
        <v>225</v>
      </c>
      <c r="E857" s="115"/>
      <c r="F857" s="7">
        <f>F858+F860</f>
        <v>6988.8</v>
      </c>
      <c r="G857" s="7">
        <f>G858+G860</f>
        <v>0</v>
      </c>
      <c r="H857" s="36">
        <f t="shared" si="187"/>
        <v>6988.8</v>
      </c>
      <c r="I857" s="7">
        <f>I858+I860</f>
        <v>0</v>
      </c>
      <c r="J857" s="36">
        <f t="shared" si="184"/>
        <v>6988.8</v>
      </c>
      <c r="K857" s="7">
        <f>K858+K860</f>
        <v>0</v>
      </c>
      <c r="L857" s="36">
        <f aca="true" t="shared" si="195" ref="L857:L933">J857+K857</f>
        <v>6988.8</v>
      </c>
      <c r="M857" s="7">
        <f>M858+M860</f>
        <v>0</v>
      </c>
      <c r="N857" s="36">
        <f aca="true" t="shared" si="196" ref="N857:N933">L857+M857</f>
        <v>6988.8</v>
      </c>
      <c r="O857" s="7">
        <f>O858+O860+O863</f>
        <v>0</v>
      </c>
      <c r="P857" s="36">
        <f t="shared" si="193"/>
        <v>6988.8</v>
      </c>
      <c r="Q857" s="7">
        <f>Q858+Q860+Q863</f>
        <v>-1534.7000000000003</v>
      </c>
      <c r="R857" s="36">
        <f t="shared" si="194"/>
        <v>5454.1</v>
      </c>
    </row>
    <row r="858" spans="1:18" ht="33">
      <c r="A858" s="62" t="str">
        <f aca="true" t="shared" si="197" ref="A858:A865">IF(ISERROR(MATCH(E858,Код_КВР,0)),"",INDIRECT(ADDRESS(MATCH(E858,Код_КВР,0)+1,2,,,"КВР")))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58" s="115" t="s">
        <v>414</v>
      </c>
      <c r="C858" s="8" t="s">
        <v>196</v>
      </c>
      <c r="D858" s="8" t="s">
        <v>225</v>
      </c>
      <c r="E858" s="115">
        <v>100</v>
      </c>
      <c r="F858" s="7">
        <f>F859</f>
        <v>5101</v>
      </c>
      <c r="G858" s="7">
        <f>G859</f>
        <v>0</v>
      </c>
      <c r="H858" s="36">
        <f t="shared" si="187"/>
        <v>5101</v>
      </c>
      <c r="I858" s="7">
        <f>I859</f>
        <v>-439.2</v>
      </c>
      <c r="J858" s="36">
        <f t="shared" si="184"/>
        <v>4661.8</v>
      </c>
      <c r="K858" s="7">
        <f>K859</f>
        <v>0</v>
      </c>
      <c r="L858" s="36">
        <f t="shared" si="195"/>
        <v>4661.8</v>
      </c>
      <c r="M858" s="7">
        <f>M859</f>
        <v>0</v>
      </c>
      <c r="N858" s="36">
        <f t="shared" si="196"/>
        <v>4661.8</v>
      </c>
      <c r="O858" s="7">
        <f>O859</f>
        <v>0</v>
      </c>
      <c r="P858" s="36">
        <f t="shared" si="193"/>
        <v>4661.8</v>
      </c>
      <c r="Q858" s="7">
        <f>Q859</f>
        <v>-1241.1000000000001</v>
      </c>
      <c r="R858" s="36">
        <f t="shared" si="194"/>
        <v>3420.7</v>
      </c>
    </row>
    <row r="859" spans="1:18" ht="12.75">
      <c r="A859" s="62" t="str">
        <f ca="1" t="shared" si="197"/>
        <v>Расходы на выплаты персоналу казенных учреждений</v>
      </c>
      <c r="B859" s="115" t="s">
        <v>414</v>
      </c>
      <c r="C859" s="8" t="s">
        <v>196</v>
      </c>
      <c r="D859" s="8" t="s">
        <v>225</v>
      </c>
      <c r="E859" s="115">
        <v>110</v>
      </c>
      <c r="F859" s="7">
        <f>'прил.5'!G1334</f>
        <v>5101</v>
      </c>
      <c r="G859" s="7">
        <f>'прил.5'!H1334</f>
        <v>0</v>
      </c>
      <c r="H859" s="36">
        <f t="shared" si="187"/>
        <v>5101</v>
      </c>
      <c r="I859" s="7">
        <f>'прил.5'!J1334</f>
        <v>-439.2</v>
      </c>
      <c r="J859" s="36">
        <f t="shared" si="184"/>
        <v>4661.8</v>
      </c>
      <c r="K859" s="7">
        <f>'прил.5'!L1334</f>
        <v>0</v>
      </c>
      <c r="L859" s="36">
        <f t="shared" si="195"/>
        <v>4661.8</v>
      </c>
      <c r="M859" s="7">
        <f>'прил.5'!N1334</f>
        <v>0</v>
      </c>
      <c r="N859" s="36">
        <f t="shared" si="196"/>
        <v>4661.8</v>
      </c>
      <c r="O859" s="7">
        <f>'прил.5'!P1334</f>
        <v>0</v>
      </c>
      <c r="P859" s="36">
        <f t="shared" si="193"/>
        <v>4661.8</v>
      </c>
      <c r="Q859" s="7">
        <f>'прил.5'!R1334</f>
        <v>-1241.1000000000001</v>
      </c>
      <c r="R859" s="36">
        <f t="shared" si="194"/>
        <v>3420.7</v>
      </c>
    </row>
    <row r="860" spans="1:18" ht="12.75">
      <c r="A860" s="62" t="str">
        <f ca="1" t="shared" si="197"/>
        <v>Закупка товаров, работ и услуг для муниципальных нужд</v>
      </c>
      <c r="B860" s="115" t="s">
        <v>414</v>
      </c>
      <c r="C860" s="8" t="s">
        <v>196</v>
      </c>
      <c r="D860" s="8" t="s">
        <v>225</v>
      </c>
      <c r="E860" s="115">
        <v>200</v>
      </c>
      <c r="F860" s="7">
        <f>F861</f>
        <v>1887.8</v>
      </c>
      <c r="G860" s="7">
        <f>G861</f>
        <v>0</v>
      </c>
      <c r="H860" s="36">
        <f t="shared" si="187"/>
        <v>1887.8</v>
      </c>
      <c r="I860" s="7">
        <f>I861</f>
        <v>439.2</v>
      </c>
      <c r="J860" s="36">
        <f t="shared" si="184"/>
        <v>2327</v>
      </c>
      <c r="K860" s="7">
        <f>K861</f>
        <v>0</v>
      </c>
      <c r="L860" s="36">
        <f t="shared" si="195"/>
        <v>2327</v>
      </c>
      <c r="M860" s="7">
        <f>M861</f>
        <v>0</v>
      </c>
      <c r="N860" s="36">
        <f t="shared" si="196"/>
        <v>2327</v>
      </c>
      <c r="O860" s="7">
        <f>O861</f>
        <v>-0.8</v>
      </c>
      <c r="P860" s="36">
        <f t="shared" si="193"/>
        <v>2326.2</v>
      </c>
      <c r="Q860" s="7">
        <f>Q861</f>
        <v>-293.6</v>
      </c>
      <c r="R860" s="36">
        <f t="shared" si="194"/>
        <v>2032.6</v>
      </c>
    </row>
    <row r="861" spans="1:18" ht="33">
      <c r="A861" s="62" t="str">
        <f ca="1" t="shared" si="197"/>
        <v>Иные закупки товаров, работ и услуг для обеспечения муниципальных нужд</v>
      </c>
      <c r="B861" s="115" t="s">
        <v>414</v>
      </c>
      <c r="C861" s="8" t="s">
        <v>196</v>
      </c>
      <c r="D861" s="8" t="s">
        <v>225</v>
      </c>
      <c r="E861" s="115">
        <v>240</v>
      </c>
      <c r="F861" s="7">
        <f>F862</f>
        <v>1887.8</v>
      </c>
      <c r="G861" s="7">
        <f>G862</f>
        <v>0</v>
      </c>
      <c r="H861" s="36">
        <f t="shared" si="187"/>
        <v>1887.8</v>
      </c>
      <c r="I861" s="7">
        <f>I862</f>
        <v>439.2</v>
      </c>
      <c r="J861" s="36">
        <f t="shared" si="184"/>
        <v>2327</v>
      </c>
      <c r="K861" s="7">
        <f>K862</f>
        <v>0</v>
      </c>
      <c r="L861" s="36">
        <f t="shared" si="195"/>
        <v>2327</v>
      </c>
      <c r="M861" s="7">
        <f>M862</f>
        <v>0</v>
      </c>
      <c r="N861" s="36">
        <f t="shared" si="196"/>
        <v>2327</v>
      </c>
      <c r="O861" s="7">
        <f>O862</f>
        <v>-0.8</v>
      </c>
      <c r="P861" s="36">
        <f t="shared" si="193"/>
        <v>2326.2</v>
      </c>
      <c r="Q861" s="7">
        <f>Q862</f>
        <v>-293.6</v>
      </c>
      <c r="R861" s="36">
        <f t="shared" si="194"/>
        <v>2032.6</v>
      </c>
    </row>
    <row r="862" spans="1:18" ht="33">
      <c r="A862" s="62" t="str">
        <f ca="1" t="shared" si="197"/>
        <v xml:space="preserve">Прочая закупка товаров, работ и услуг для обеспечения муниципальных нужд         </v>
      </c>
      <c r="B862" s="115" t="s">
        <v>414</v>
      </c>
      <c r="C862" s="8" t="s">
        <v>196</v>
      </c>
      <c r="D862" s="8" t="s">
        <v>225</v>
      </c>
      <c r="E862" s="115">
        <v>244</v>
      </c>
      <c r="F862" s="7">
        <f>'прил.5'!G1337</f>
        <v>1887.8</v>
      </c>
      <c r="G862" s="7">
        <f>'прил.5'!H1337</f>
        <v>0</v>
      </c>
      <c r="H862" s="36">
        <f t="shared" si="187"/>
        <v>1887.8</v>
      </c>
      <c r="I862" s="7">
        <f>'прил.5'!J1337</f>
        <v>439.2</v>
      </c>
      <c r="J862" s="36">
        <f t="shared" si="184"/>
        <v>2327</v>
      </c>
      <c r="K862" s="7">
        <f>'прил.5'!L1337</f>
        <v>0</v>
      </c>
      <c r="L862" s="36">
        <f t="shared" si="195"/>
        <v>2327</v>
      </c>
      <c r="M862" s="7">
        <f>'прил.5'!N1337</f>
        <v>0</v>
      </c>
      <c r="N862" s="36">
        <f t="shared" si="196"/>
        <v>2327</v>
      </c>
      <c r="O862" s="7">
        <f>'прил.5'!P1337</f>
        <v>-0.8</v>
      </c>
      <c r="P862" s="36">
        <f t="shared" si="193"/>
        <v>2326.2</v>
      </c>
      <c r="Q862" s="7">
        <f>'прил.5'!R1337</f>
        <v>-293.6</v>
      </c>
      <c r="R862" s="36">
        <f t="shared" si="194"/>
        <v>2032.6</v>
      </c>
    </row>
    <row r="863" spans="1:18" ht="12.75">
      <c r="A863" s="62" t="str">
        <f ca="1" t="shared" si="197"/>
        <v>Иные бюджетные ассигнования</v>
      </c>
      <c r="B863" s="115" t="s">
        <v>414</v>
      </c>
      <c r="C863" s="8" t="s">
        <v>196</v>
      </c>
      <c r="D863" s="8" t="s">
        <v>225</v>
      </c>
      <c r="E863" s="115">
        <v>800</v>
      </c>
      <c r="F863" s="7"/>
      <c r="G863" s="7"/>
      <c r="H863" s="36"/>
      <c r="I863" s="7"/>
      <c r="J863" s="36"/>
      <c r="K863" s="7"/>
      <c r="L863" s="36"/>
      <c r="M863" s="7"/>
      <c r="N863" s="36"/>
      <c r="O863" s="7">
        <f>O864</f>
        <v>0.8</v>
      </c>
      <c r="P863" s="36">
        <f t="shared" si="193"/>
        <v>0.8</v>
      </c>
      <c r="Q863" s="7">
        <f>Q864</f>
        <v>0</v>
      </c>
      <c r="R863" s="36">
        <f t="shared" si="194"/>
        <v>0.8</v>
      </c>
    </row>
    <row r="864" spans="1:18" ht="12.75">
      <c r="A864" s="62" t="str">
        <f ca="1" t="shared" si="197"/>
        <v>Уплата налогов, сборов и иных платежей</v>
      </c>
      <c r="B864" s="115" t="s">
        <v>414</v>
      </c>
      <c r="C864" s="8" t="s">
        <v>196</v>
      </c>
      <c r="D864" s="8" t="s">
        <v>225</v>
      </c>
      <c r="E864" s="115">
        <v>850</v>
      </c>
      <c r="F864" s="7"/>
      <c r="G864" s="7"/>
      <c r="H864" s="36"/>
      <c r="I864" s="7"/>
      <c r="J864" s="36"/>
      <c r="K864" s="7"/>
      <c r="L864" s="36"/>
      <c r="M864" s="7"/>
      <c r="N864" s="36"/>
      <c r="O864" s="7">
        <f>O865</f>
        <v>0.8</v>
      </c>
      <c r="P864" s="36">
        <f t="shared" si="193"/>
        <v>0.8</v>
      </c>
      <c r="Q864" s="7">
        <f>Q865</f>
        <v>0</v>
      </c>
      <c r="R864" s="36">
        <f t="shared" si="194"/>
        <v>0.8</v>
      </c>
    </row>
    <row r="865" spans="1:18" ht="12.75">
      <c r="A865" s="62" t="str">
        <f ca="1" t="shared" si="197"/>
        <v>Уплата прочих налогов, сборов и иных платежей</v>
      </c>
      <c r="B865" s="115" t="s">
        <v>414</v>
      </c>
      <c r="C865" s="8" t="s">
        <v>196</v>
      </c>
      <c r="D865" s="8" t="s">
        <v>225</v>
      </c>
      <c r="E865" s="115">
        <v>852</v>
      </c>
      <c r="F865" s="7"/>
      <c r="G865" s="7"/>
      <c r="H865" s="36"/>
      <c r="I865" s="7"/>
      <c r="J865" s="36"/>
      <c r="K865" s="7"/>
      <c r="L865" s="36"/>
      <c r="M865" s="7"/>
      <c r="N865" s="36"/>
      <c r="O865" s="7">
        <f>'прил.5'!P1340</f>
        <v>0.8</v>
      </c>
      <c r="P865" s="36">
        <f t="shared" si="193"/>
        <v>0.8</v>
      </c>
      <c r="Q865" s="7">
        <f>'прил.5'!R1340</f>
        <v>0</v>
      </c>
      <c r="R865" s="36">
        <f t="shared" si="194"/>
        <v>0.8</v>
      </c>
    </row>
    <row r="866" spans="1:18" ht="156" customHeight="1">
      <c r="A866" s="62" t="str">
        <f ca="1">IF(ISERROR(MATCH(B866,Код_КЦСР,0)),"",INDIRECT(ADDRESS(MATCH(B866,Код_КЦСР,0)+1,2,,,"КЦСР")))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866" s="115" t="s">
        <v>413</v>
      </c>
      <c r="C866" s="8"/>
      <c r="D866" s="1"/>
      <c r="E866" s="115"/>
      <c r="F866" s="7">
        <f aca="true" t="shared" si="198" ref="F866:Q870">F867</f>
        <v>5186.5</v>
      </c>
      <c r="G866" s="7">
        <f t="shared" si="198"/>
        <v>0</v>
      </c>
      <c r="H866" s="36">
        <f t="shared" si="187"/>
        <v>5186.5</v>
      </c>
      <c r="I866" s="7">
        <f t="shared" si="198"/>
        <v>0</v>
      </c>
      <c r="J866" s="36">
        <f t="shared" si="184"/>
        <v>5186.5</v>
      </c>
      <c r="K866" s="7">
        <f t="shared" si="198"/>
        <v>0</v>
      </c>
      <c r="L866" s="36">
        <f t="shared" si="195"/>
        <v>5186.5</v>
      </c>
      <c r="M866" s="7">
        <f t="shared" si="198"/>
        <v>0</v>
      </c>
      <c r="N866" s="36">
        <f t="shared" si="196"/>
        <v>5186.5</v>
      </c>
      <c r="O866" s="7">
        <f t="shared" si="198"/>
        <v>0</v>
      </c>
      <c r="P866" s="36">
        <f t="shared" si="193"/>
        <v>5186.5</v>
      </c>
      <c r="Q866" s="7">
        <f t="shared" si="198"/>
        <v>0</v>
      </c>
      <c r="R866" s="36">
        <f t="shared" si="194"/>
        <v>5186.5</v>
      </c>
    </row>
    <row r="867" spans="1:18" ht="12.75">
      <c r="A867" s="62" t="str">
        <f ca="1">IF(ISERROR(MATCH(C867,Код_Раздел,0)),"",INDIRECT(ADDRESS(MATCH(C867,Код_Раздел,0)+1,2,,,"Раздел")))</f>
        <v>Социальная политика</v>
      </c>
      <c r="B867" s="115" t="s">
        <v>413</v>
      </c>
      <c r="C867" s="8" t="s">
        <v>196</v>
      </c>
      <c r="D867" s="1"/>
      <c r="E867" s="115"/>
      <c r="F867" s="7">
        <f t="shared" si="198"/>
        <v>5186.5</v>
      </c>
      <c r="G867" s="7">
        <f t="shared" si="198"/>
        <v>0</v>
      </c>
      <c r="H867" s="36">
        <f t="shared" si="187"/>
        <v>5186.5</v>
      </c>
      <c r="I867" s="7">
        <f t="shared" si="198"/>
        <v>0</v>
      </c>
      <c r="J867" s="36">
        <f t="shared" si="184"/>
        <v>5186.5</v>
      </c>
      <c r="K867" s="7">
        <f t="shared" si="198"/>
        <v>0</v>
      </c>
      <c r="L867" s="36">
        <f t="shared" si="195"/>
        <v>5186.5</v>
      </c>
      <c r="M867" s="7">
        <f t="shared" si="198"/>
        <v>0</v>
      </c>
      <c r="N867" s="36">
        <f t="shared" si="196"/>
        <v>5186.5</v>
      </c>
      <c r="O867" s="7">
        <f t="shared" si="198"/>
        <v>0</v>
      </c>
      <c r="P867" s="36">
        <f t="shared" si="193"/>
        <v>5186.5</v>
      </c>
      <c r="Q867" s="7">
        <f t="shared" si="198"/>
        <v>0</v>
      </c>
      <c r="R867" s="36">
        <f t="shared" si="194"/>
        <v>5186.5</v>
      </c>
    </row>
    <row r="868" spans="1:18" ht="12.75">
      <c r="A868" s="12" t="s">
        <v>197</v>
      </c>
      <c r="B868" s="115" t="s">
        <v>413</v>
      </c>
      <c r="C868" s="8" t="s">
        <v>196</v>
      </c>
      <c r="D868" s="8" t="s">
        <v>225</v>
      </c>
      <c r="E868" s="115"/>
      <c r="F868" s="7">
        <f t="shared" si="198"/>
        <v>5186.5</v>
      </c>
      <c r="G868" s="7">
        <f t="shared" si="198"/>
        <v>0</v>
      </c>
      <c r="H868" s="36">
        <f t="shared" si="187"/>
        <v>5186.5</v>
      </c>
      <c r="I868" s="7">
        <f t="shared" si="198"/>
        <v>0</v>
      </c>
      <c r="J868" s="36">
        <f t="shared" si="184"/>
        <v>5186.5</v>
      </c>
      <c r="K868" s="7">
        <f t="shared" si="198"/>
        <v>0</v>
      </c>
      <c r="L868" s="36">
        <f t="shared" si="195"/>
        <v>5186.5</v>
      </c>
      <c r="M868" s="7">
        <f t="shared" si="198"/>
        <v>0</v>
      </c>
      <c r="N868" s="36">
        <f t="shared" si="196"/>
        <v>5186.5</v>
      </c>
      <c r="O868" s="7">
        <f t="shared" si="198"/>
        <v>0</v>
      </c>
      <c r="P868" s="36">
        <f t="shared" si="193"/>
        <v>5186.5</v>
      </c>
      <c r="Q868" s="7">
        <f t="shared" si="198"/>
        <v>0</v>
      </c>
      <c r="R868" s="36">
        <f t="shared" si="194"/>
        <v>5186.5</v>
      </c>
    </row>
    <row r="869" spans="1:18" ht="12.75">
      <c r="A869" s="62" t="str">
        <f ca="1">IF(ISERROR(MATCH(E869,Код_КВР,0)),"",INDIRECT(ADDRESS(MATCH(E869,Код_КВР,0)+1,2,,,"КВР")))</f>
        <v>Социальное обеспечение и иные выплаты населению</v>
      </c>
      <c r="B869" s="115" t="s">
        <v>413</v>
      </c>
      <c r="C869" s="8" t="s">
        <v>196</v>
      </c>
      <c r="D869" s="8" t="s">
        <v>225</v>
      </c>
      <c r="E869" s="115">
        <v>300</v>
      </c>
      <c r="F869" s="7">
        <f t="shared" si="198"/>
        <v>5186.5</v>
      </c>
      <c r="G869" s="7">
        <f t="shared" si="198"/>
        <v>0</v>
      </c>
      <c r="H869" s="36">
        <f t="shared" si="187"/>
        <v>5186.5</v>
      </c>
      <c r="I869" s="7">
        <f t="shared" si="198"/>
        <v>0</v>
      </c>
      <c r="J869" s="36">
        <f t="shared" si="184"/>
        <v>5186.5</v>
      </c>
      <c r="K869" s="7">
        <f t="shared" si="198"/>
        <v>0</v>
      </c>
      <c r="L869" s="36">
        <f t="shared" si="195"/>
        <v>5186.5</v>
      </c>
      <c r="M869" s="7">
        <f t="shared" si="198"/>
        <v>0</v>
      </c>
      <c r="N869" s="36">
        <f t="shared" si="196"/>
        <v>5186.5</v>
      </c>
      <c r="O869" s="7">
        <f t="shared" si="198"/>
        <v>0</v>
      </c>
      <c r="P869" s="36">
        <f t="shared" si="193"/>
        <v>5186.5</v>
      </c>
      <c r="Q869" s="7">
        <f t="shared" si="198"/>
        <v>0</v>
      </c>
      <c r="R869" s="36">
        <f t="shared" si="194"/>
        <v>5186.5</v>
      </c>
    </row>
    <row r="870" spans="1:18" ht="35.25" customHeight="1">
      <c r="A870" s="62" t="str">
        <f ca="1">IF(ISERROR(MATCH(E870,Код_КВР,0)),"",INDIRECT(ADDRESS(MATCH(E870,Код_КВР,0)+1,2,,,"КВР")))</f>
        <v>Социальные выплаты гражданам, кроме публичных нормативных социальных выплат</v>
      </c>
      <c r="B870" s="115" t="s">
        <v>413</v>
      </c>
      <c r="C870" s="8" t="s">
        <v>196</v>
      </c>
      <c r="D870" s="8" t="s">
        <v>225</v>
      </c>
      <c r="E870" s="115">
        <v>320</v>
      </c>
      <c r="F870" s="7">
        <f t="shared" si="198"/>
        <v>5186.5</v>
      </c>
      <c r="G870" s="7">
        <f t="shared" si="198"/>
        <v>0</v>
      </c>
      <c r="H870" s="36">
        <f t="shared" si="187"/>
        <v>5186.5</v>
      </c>
      <c r="I870" s="7">
        <f t="shared" si="198"/>
        <v>0</v>
      </c>
      <c r="J870" s="36">
        <f t="shared" si="184"/>
        <v>5186.5</v>
      </c>
      <c r="K870" s="7">
        <f t="shared" si="198"/>
        <v>0</v>
      </c>
      <c r="L870" s="36">
        <f t="shared" si="195"/>
        <v>5186.5</v>
      </c>
      <c r="M870" s="7">
        <f t="shared" si="198"/>
        <v>0</v>
      </c>
      <c r="N870" s="36">
        <f t="shared" si="196"/>
        <v>5186.5</v>
      </c>
      <c r="O870" s="7">
        <f t="shared" si="198"/>
        <v>0</v>
      </c>
      <c r="P870" s="36">
        <f t="shared" si="193"/>
        <v>5186.5</v>
      </c>
      <c r="Q870" s="7">
        <f t="shared" si="198"/>
        <v>0</v>
      </c>
      <c r="R870" s="36">
        <f t="shared" si="194"/>
        <v>5186.5</v>
      </c>
    </row>
    <row r="871" spans="1:18" ht="36" customHeight="1">
      <c r="A871" s="62" t="str">
        <f ca="1">IF(ISERROR(MATCH(E871,Код_КВР,0)),"",INDIRECT(ADDRESS(MATCH(E871,Код_КВР,0)+1,2,,,"КВР")))</f>
        <v>Пособия, компенсации и иные социальные выплаты гражданам, кроме публичных нормативных обязательств</v>
      </c>
      <c r="B871" s="115" t="s">
        <v>413</v>
      </c>
      <c r="C871" s="8" t="s">
        <v>196</v>
      </c>
      <c r="D871" s="8" t="s">
        <v>225</v>
      </c>
      <c r="E871" s="115">
        <v>321</v>
      </c>
      <c r="F871" s="7">
        <f>'прил.5'!G1344</f>
        <v>5186.5</v>
      </c>
      <c r="G871" s="7">
        <f>'прил.5'!H1344</f>
        <v>0</v>
      </c>
      <c r="H871" s="36">
        <f t="shared" si="187"/>
        <v>5186.5</v>
      </c>
      <c r="I871" s="7">
        <f>'прил.5'!J1344</f>
        <v>0</v>
      </c>
      <c r="J871" s="36">
        <f t="shared" si="184"/>
        <v>5186.5</v>
      </c>
      <c r="K871" s="7">
        <f>'прил.5'!L1344</f>
        <v>0</v>
      </c>
      <c r="L871" s="36">
        <f t="shared" si="195"/>
        <v>5186.5</v>
      </c>
      <c r="M871" s="7">
        <f>'прил.5'!N1344</f>
        <v>0</v>
      </c>
      <c r="N871" s="36">
        <f t="shared" si="196"/>
        <v>5186.5</v>
      </c>
      <c r="O871" s="7">
        <f>'прил.5'!P1344</f>
        <v>0</v>
      </c>
      <c r="P871" s="36">
        <f t="shared" si="193"/>
        <v>5186.5</v>
      </c>
      <c r="Q871" s="7">
        <f>'прил.5'!R1344</f>
        <v>0</v>
      </c>
      <c r="R871" s="36">
        <f t="shared" si="194"/>
        <v>5186.5</v>
      </c>
    </row>
    <row r="872" spans="1:18" ht="36" customHeight="1">
      <c r="A872" s="62" t="str">
        <f ca="1">IF(ISERROR(MATCH(B872,Код_КЦСР,0)),"",INDIRECT(ADDRESS(MATCH(B872,Код_КЦСР,0)+1,2,,,"КЦСР")))</f>
        <v>Муниципальная программа «Обеспечение жильем отдельных категорий граждан» на 2014-2020 годы</v>
      </c>
      <c r="B872" s="46" t="s">
        <v>24</v>
      </c>
      <c r="C872" s="8"/>
      <c r="D872" s="1"/>
      <c r="E872" s="115"/>
      <c r="F872" s="7">
        <f>F873+F879+F897</f>
        <v>21306.8</v>
      </c>
      <c r="G872" s="7">
        <f>G873+G879+G897</f>
        <v>0</v>
      </c>
      <c r="H872" s="36">
        <f t="shared" si="187"/>
        <v>21306.8</v>
      </c>
      <c r="I872" s="7">
        <f>I873+I879+I897</f>
        <v>0</v>
      </c>
      <c r="J872" s="36">
        <f t="shared" si="184"/>
        <v>21306.8</v>
      </c>
      <c r="K872" s="7">
        <f>K873+K879+K897</f>
        <v>0</v>
      </c>
      <c r="L872" s="36">
        <f t="shared" si="195"/>
        <v>21306.8</v>
      </c>
      <c r="M872" s="7">
        <f>M873+M879+M897</f>
        <v>0</v>
      </c>
      <c r="N872" s="36">
        <f t="shared" si="196"/>
        <v>21306.8</v>
      </c>
      <c r="O872" s="7">
        <f>O873+O879+O897</f>
        <v>0</v>
      </c>
      <c r="P872" s="36">
        <f t="shared" si="193"/>
        <v>21306.8</v>
      </c>
      <c r="Q872" s="7">
        <f>Q873+Q879+Q897</f>
        <v>-2993.7000000000003</v>
      </c>
      <c r="R872" s="36">
        <f t="shared" si="194"/>
        <v>18313.1</v>
      </c>
    </row>
    <row r="873" spans="1:18" ht="85.5" customHeight="1">
      <c r="A873" s="62" t="str">
        <f ca="1">IF(ISERROR(MATCH(B873,Код_КЦСР,0)),"",INDIRECT(ADDRESS(MATCH(B873,Код_КЦСР,0)+1,2,,,"КЦСР")))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873" s="48" t="s">
        <v>449</v>
      </c>
      <c r="C873" s="8"/>
      <c r="D873" s="1"/>
      <c r="E873" s="115"/>
      <c r="F873" s="7">
        <f aca="true" t="shared" si="199" ref="F873:Q877">F874</f>
        <v>9250.7</v>
      </c>
      <c r="G873" s="7">
        <f t="shared" si="199"/>
        <v>0</v>
      </c>
      <c r="H873" s="36">
        <f t="shared" si="187"/>
        <v>9250.7</v>
      </c>
      <c r="I873" s="7">
        <f t="shared" si="199"/>
        <v>0</v>
      </c>
      <c r="J873" s="36">
        <f aca="true" t="shared" si="200" ref="J873:J946">H873+I873</f>
        <v>9250.7</v>
      </c>
      <c r="K873" s="7">
        <f t="shared" si="199"/>
        <v>0</v>
      </c>
      <c r="L873" s="36">
        <f t="shared" si="195"/>
        <v>9250.7</v>
      </c>
      <c r="M873" s="7">
        <f t="shared" si="199"/>
        <v>0</v>
      </c>
      <c r="N873" s="36">
        <f t="shared" si="196"/>
        <v>9250.7</v>
      </c>
      <c r="O873" s="7">
        <f t="shared" si="199"/>
        <v>0</v>
      </c>
      <c r="P873" s="36">
        <f t="shared" si="193"/>
        <v>9250.7</v>
      </c>
      <c r="Q873" s="7">
        <f t="shared" si="199"/>
        <v>3136.9</v>
      </c>
      <c r="R873" s="36">
        <f t="shared" si="194"/>
        <v>12387.6</v>
      </c>
    </row>
    <row r="874" spans="1:18" ht="12.75">
      <c r="A874" s="62" t="str">
        <f ca="1">IF(ISERROR(MATCH(C874,Код_Раздел,0)),"",INDIRECT(ADDRESS(MATCH(C874,Код_Раздел,0)+1,2,,,"Раздел")))</f>
        <v>Социальная политика</v>
      </c>
      <c r="B874" s="48" t="s">
        <v>449</v>
      </c>
      <c r="C874" s="8" t="s">
        <v>196</v>
      </c>
      <c r="D874" s="1"/>
      <c r="E874" s="115"/>
      <c r="F874" s="7">
        <f t="shared" si="199"/>
        <v>9250.7</v>
      </c>
      <c r="G874" s="7">
        <f t="shared" si="199"/>
        <v>0</v>
      </c>
      <c r="H874" s="36">
        <f t="shared" si="187"/>
        <v>9250.7</v>
      </c>
      <c r="I874" s="7">
        <f t="shared" si="199"/>
        <v>0</v>
      </c>
      <c r="J874" s="36">
        <f t="shared" si="200"/>
        <v>9250.7</v>
      </c>
      <c r="K874" s="7">
        <f t="shared" si="199"/>
        <v>0</v>
      </c>
      <c r="L874" s="36">
        <f t="shared" si="195"/>
        <v>9250.7</v>
      </c>
      <c r="M874" s="7">
        <f t="shared" si="199"/>
        <v>0</v>
      </c>
      <c r="N874" s="36">
        <f t="shared" si="196"/>
        <v>9250.7</v>
      </c>
      <c r="O874" s="7">
        <f t="shared" si="199"/>
        <v>0</v>
      </c>
      <c r="P874" s="36">
        <f t="shared" si="193"/>
        <v>9250.7</v>
      </c>
      <c r="Q874" s="7">
        <f t="shared" si="199"/>
        <v>3136.9</v>
      </c>
      <c r="R874" s="36">
        <f t="shared" si="194"/>
        <v>12387.6</v>
      </c>
    </row>
    <row r="875" spans="1:18" ht="12.75">
      <c r="A875" s="12" t="s">
        <v>187</v>
      </c>
      <c r="B875" s="48" t="s">
        <v>449</v>
      </c>
      <c r="C875" s="8" t="s">
        <v>196</v>
      </c>
      <c r="D875" s="8" t="s">
        <v>223</v>
      </c>
      <c r="E875" s="115"/>
      <c r="F875" s="7">
        <f t="shared" si="199"/>
        <v>9250.7</v>
      </c>
      <c r="G875" s="7">
        <f t="shared" si="199"/>
        <v>0</v>
      </c>
      <c r="H875" s="36">
        <f t="shared" si="187"/>
        <v>9250.7</v>
      </c>
      <c r="I875" s="7">
        <f t="shared" si="199"/>
        <v>0</v>
      </c>
      <c r="J875" s="36">
        <f t="shared" si="200"/>
        <v>9250.7</v>
      </c>
      <c r="K875" s="7">
        <f t="shared" si="199"/>
        <v>0</v>
      </c>
      <c r="L875" s="36">
        <f t="shared" si="195"/>
        <v>9250.7</v>
      </c>
      <c r="M875" s="7">
        <f t="shared" si="199"/>
        <v>0</v>
      </c>
      <c r="N875" s="36">
        <f t="shared" si="196"/>
        <v>9250.7</v>
      </c>
      <c r="O875" s="7">
        <f t="shared" si="199"/>
        <v>0</v>
      </c>
      <c r="P875" s="36">
        <f t="shared" si="193"/>
        <v>9250.7</v>
      </c>
      <c r="Q875" s="7">
        <f t="shared" si="199"/>
        <v>3136.9</v>
      </c>
      <c r="R875" s="36">
        <f t="shared" si="194"/>
        <v>12387.6</v>
      </c>
    </row>
    <row r="876" spans="1:18" ht="12.75">
      <c r="A876" s="62" t="str">
        <f ca="1">IF(ISERROR(MATCH(E876,Код_КВР,0)),"",INDIRECT(ADDRESS(MATCH(E876,Код_КВР,0)+1,2,,,"КВР")))</f>
        <v>Социальное обеспечение и иные выплаты населению</v>
      </c>
      <c r="B876" s="48" t="s">
        <v>449</v>
      </c>
      <c r="C876" s="8" t="s">
        <v>196</v>
      </c>
      <c r="D876" s="8" t="s">
        <v>223</v>
      </c>
      <c r="E876" s="115">
        <v>300</v>
      </c>
      <c r="F876" s="7">
        <f t="shared" si="199"/>
        <v>9250.7</v>
      </c>
      <c r="G876" s="7">
        <f t="shared" si="199"/>
        <v>0</v>
      </c>
      <c r="H876" s="36">
        <f t="shared" si="187"/>
        <v>9250.7</v>
      </c>
      <c r="I876" s="7">
        <f t="shared" si="199"/>
        <v>0</v>
      </c>
      <c r="J876" s="36">
        <f t="shared" si="200"/>
        <v>9250.7</v>
      </c>
      <c r="K876" s="7">
        <f t="shared" si="199"/>
        <v>0</v>
      </c>
      <c r="L876" s="36">
        <f t="shared" si="195"/>
        <v>9250.7</v>
      </c>
      <c r="M876" s="7">
        <f t="shared" si="199"/>
        <v>0</v>
      </c>
      <c r="N876" s="36">
        <f t="shared" si="196"/>
        <v>9250.7</v>
      </c>
      <c r="O876" s="7">
        <f t="shared" si="199"/>
        <v>0</v>
      </c>
      <c r="P876" s="36">
        <f t="shared" si="193"/>
        <v>9250.7</v>
      </c>
      <c r="Q876" s="7">
        <f t="shared" si="199"/>
        <v>3136.9</v>
      </c>
      <c r="R876" s="36">
        <f t="shared" si="194"/>
        <v>12387.6</v>
      </c>
    </row>
    <row r="877" spans="1:18" ht="33">
      <c r="A877" s="62" t="str">
        <f ca="1">IF(ISERROR(MATCH(E877,Код_КВР,0)),"",INDIRECT(ADDRESS(MATCH(E877,Код_КВР,0)+1,2,,,"КВР")))</f>
        <v>Социальные выплаты гражданам, кроме публичных нормативных социальных выплат</v>
      </c>
      <c r="B877" s="48" t="s">
        <v>449</v>
      </c>
      <c r="C877" s="8" t="s">
        <v>196</v>
      </c>
      <c r="D877" s="8" t="s">
        <v>223</v>
      </c>
      <c r="E877" s="115">
        <v>320</v>
      </c>
      <c r="F877" s="7">
        <f t="shared" si="199"/>
        <v>9250.7</v>
      </c>
      <c r="G877" s="7">
        <f t="shared" si="199"/>
        <v>0</v>
      </c>
      <c r="H877" s="36">
        <f t="shared" si="187"/>
        <v>9250.7</v>
      </c>
      <c r="I877" s="7">
        <f t="shared" si="199"/>
        <v>0</v>
      </c>
      <c r="J877" s="36">
        <f t="shared" si="200"/>
        <v>9250.7</v>
      </c>
      <c r="K877" s="7">
        <f t="shared" si="199"/>
        <v>0</v>
      </c>
      <c r="L877" s="36">
        <f t="shared" si="195"/>
        <v>9250.7</v>
      </c>
      <c r="M877" s="7">
        <f t="shared" si="199"/>
        <v>0</v>
      </c>
      <c r="N877" s="36">
        <f t="shared" si="196"/>
        <v>9250.7</v>
      </c>
      <c r="O877" s="7">
        <f t="shared" si="199"/>
        <v>0</v>
      </c>
      <c r="P877" s="36">
        <f t="shared" si="193"/>
        <v>9250.7</v>
      </c>
      <c r="Q877" s="7">
        <f t="shared" si="199"/>
        <v>3136.9</v>
      </c>
      <c r="R877" s="36">
        <f t="shared" si="194"/>
        <v>12387.6</v>
      </c>
    </row>
    <row r="878" spans="1:18" ht="12.75">
      <c r="A878" s="62" t="str">
        <f ca="1">IF(ISERROR(MATCH(E878,Код_КВР,0)),"",INDIRECT(ADDRESS(MATCH(E878,Код_КВР,0)+1,2,,,"КВР")))</f>
        <v>Субсидии гражданам на приобретение жилья</v>
      </c>
      <c r="B878" s="48" t="s">
        <v>449</v>
      </c>
      <c r="C878" s="8" t="s">
        <v>196</v>
      </c>
      <c r="D878" s="8" t="s">
        <v>223</v>
      </c>
      <c r="E878" s="115">
        <v>322</v>
      </c>
      <c r="F878" s="7">
        <f>'прил.5'!G338</f>
        <v>9250.7</v>
      </c>
      <c r="G878" s="7">
        <f>'прил.5'!H338</f>
        <v>0</v>
      </c>
      <c r="H878" s="36">
        <f t="shared" si="187"/>
        <v>9250.7</v>
      </c>
      <c r="I878" s="7">
        <f>'прил.5'!J338</f>
        <v>0</v>
      </c>
      <c r="J878" s="36">
        <f t="shared" si="200"/>
        <v>9250.7</v>
      </c>
      <c r="K878" s="7">
        <f>'прил.5'!L338</f>
        <v>0</v>
      </c>
      <c r="L878" s="36">
        <f t="shared" si="195"/>
        <v>9250.7</v>
      </c>
      <c r="M878" s="7">
        <f>'прил.5'!N338</f>
        <v>0</v>
      </c>
      <c r="N878" s="36">
        <f t="shared" si="196"/>
        <v>9250.7</v>
      </c>
      <c r="O878" s="7">
        <f>'прил.5'!P338</f>
        <v>0</v>
      </c>
      <c r="P878" s="36">
        <f t="shared" si="193"/>
        <v>9250.7</v>
      </c>
      <c r="Q878" s="7">
        <f>'прил.5'!R338</f>
        <v>3136.9</v>
      </c>
      <c r="R878" s="36">
        <f t="shared" si="194"/>
        <v>12387.6</v>
      </c>
    </row>
    <row r="879" spans="1:18" ht="12.75">
      <c r="A879" s="62" t="str">
        <f ca="1">IF(ISERROR(MATCH(B879,Код_КЦСР,0)),"",INDIRECT(ADDRESS(MATCH(B879,Код_КЦСР,0)+1,2,,,"КЦСР")))</f>
        <v>Обеспечение жильем молодых семей</v>
      </c>
      <c r="B879" s="46" t="s">
        <v>26</v>
      </c>
      <c r="C879" s="8"/>
      <c r="D879" s="1"/>
      <c r="E879" s="115"/>
      <c r="F879" s="7">
        <f>F880+F891</f>
        <v>2886.3</v>
      </c>
      <c r="G879" s="7">
        <f>G880+G891</f>
        <v>0</v>
      </c>
      <c r="H879" s="36">
        <f t="shared" si="187"/>
        <v>2886.3</v>
      </c>
      <c r="I879" s="7">
        <f>I880+I891</f>
        <v>0</v>
      </c>
      <c r="J879" s="36">
        <f t="shared" si="200"/>
        <v>2886.3</v>
      </c>
      <c r="K879" s="7">
        <f>K880+K891</f>
        <v>0</v>
      </c>
      <c r="L879" s="36">
        <f t="shared" si="195"/>
        <v>2886.3</v>
      </c>
      <c r="M879" s="7">
        <f>M880+M891</f>
        <v>0</v>
      </c>
      <c r="N879" s="36">
        <f t="shared" si="196"/>
        <v>2886.3</v>
      </c>
      <c r="O879" s="7">
        <f>O880+O891</f>
        <v>0</v>
      </c>
      <c r="P879" s="36">
        <f t="shared" si="193"/>
        <v>2886.3</v>
      </c>
      <c r="Q879" s="7">
        <f>Q880+Q891+Q886</f>
        <v>504</v>
      </c>
      <c r="R879" s="36">
        <f t="shared" si="194"/>
        <v>3390.3</v>
      </c>
    </row>
    <row r="880" spans="1:18" ht="33">
      <c r="A880" s="62" t="str">
        <f ca="1">IF(ISERROR(MATCH(B880,Код_КЦСР,0)),"",INDIRECT(ADDRESS(MATCH(B880,Код_КЦСР,0)+1,2,,,"КЦСР")))</f>
        <v>Предоставление социальных выплат на приобретение (строительство) жилья молодыми семьями</v>
      </c>
      <c r="B880" s="46" t="s">
        <v>28</v>
      </c>
      <c r="C880" s="8"/>
      <c r="D880" s="1"/>
      <c r="E880" s="115"/>
      <c r="F880" s="7">
        <f aca="true" t="shared" si="201" ref="F880:Q895">F881</f>
        <v>2886.3</v>
      </c>
      <c r="G880" s="7">
        <f t="shared" si="201"/>
        <v>0</v>
      </c>
      <c r="H880" s="36">
        <f t="shared" si="187"/>
        <v>2886.3</v>
      </c>
      <c r="I880" s="7">
        <f t="shared" si="201"/>
        <v>0</v>
      </c>
      <c r="J880" s="36">
        <f t="shared" si="200"/>
        <v>2886.3</v>
      </c>
      <c r="K880" s="7">
        <f t="shared" si="201"/>
        <v>0</v>
      </c>
      <c r="L880" s="36">
        <f t="shared" si="195"/>
        <v>2886.3</v>
      </c>
      <c r="M880" s="7">
        <f t="shared" si="201"/>
        <v>0</v>
      </c>
      <c r="N880" s="36">
        <f t="shared" si="196"/>
        <v>2886.3</v>
      </c>
      <c r="O880" s="7">
        <f t="shared" si="201"/>
        <v>0</v>
      </c>
      <c r="P880" s="36">
        <f t="shared" si="193"/>
        <v>2886.3</v>
      </c>
      <c r="Q880" s="7">
        <f t="shared" si="201"/>
        <v>-1220.2</v>
      </c>
      <c r="R880" s="36">
        <f t="shared" si="194"/>
        <v>1666.1000000000001</v>
      </c>
    </row>
    <row r="881" spans="1:18" ht="12.75">
      <c r="A881" s="62" t="str">
        <f ca="1">IF(ISERROR(MATCH(C881,Код_Раздел,0)),"",INDIRECT(ADDRESS(MATCH(C881,Код_Раздел,0)+1,2,,,"Раздел")))</f>
        <v>Социальная политика</v>
      </c>
      <c r="B881" s="46" t="s">
        <v>28</v>
      </c>
      <c r="C881" s="8" t="s">
        <v>196</v>
      </c>
      <c r="D881" s="1"/>
      <c r="E881" s="115"/>
      <c r="F881" s="7">
        <f t="shared" si="201"/>
        <v>2886.3</v>
      </c>
      <c r="G881" s="7">
        <f t="shared" si="201"/>
        <v>0</v>
      </c>
      <c r="H881" s="36">
        <f aca="true" t="shared" si="202" ref="H881:H954">F881+G881</f>
        <v>2886.3</v>
      </c>
      <c r="I881" s="7">
        <f t="shared" si="201"/>
        <v>0</v>
      </c>
      <c r="J881" s="36">
        <f t="shared" si="200"/>
        <v>2886.3</v>
      </c>
      <c r="K881" s="7">
        <f t="shared" si="201"/>
        <v>0</v>
      </c>
      <c r="L881" s="36">
        <f t="shared" si="195"/>
        <v>2886.3</v>
      </c>
      <c r="M881" s="7">
        <f t="shared" si="201"/>
        <v>0</v>
      </c>
      <c r="N881" s="36">
        <f t="shared" si="196"/>
        <v>2886.3</v>
      </c>
      <c r="O881" s="7">
        <f t="shared" si="201"/>
        <v>0</v>
      </c>
      <c r="P881" s="36">
        <f t="shared" si="193"/>
        <v>2886.3</v>
      </c>
      <c r="Q881" s="7">
        <f t="shared" si="201"/>
        <v>-1220.2</v>
      </c>
      <c r="R881" s="36">
        <f t="shared" si="194"/>
        <v>1666.1000000000001</v>
      </c>
    </row>
    <row r="882" spans="1:18" ht="12.75">
      <c r="A882" s="12" t="s">
        <v>187</v>
      </c>
      <c r="B882" s="46" t="s">
        <v>28</v>
      </c>
      <c r="C882" s="8" t="s">
        <v>196</v>
      </c>
      <c r="D882" s="8" t="s">
        <v>223</v>
      </c>
      <c r="E882" s="115"/>
      <c r="F882" s="7">
        <f t="shared" si="201"/>
        <v>2886.3</v>
      </c>
      <c r="G882" s="7">
        <f t="shared" si="201"/>
        <v>0</v>
      </c>
      <c r="H882" s="36">
        <f t="shared" si="202"/>
        <v>2886.3</v>
      </c>
      <c r="I882" s="7">
        <f t="shared" si="201"/>
        <v>0</v>
      </c>
      <c r="J882" s="36">
        <f t="shared" si="200"/>
        <v>2886.3</v>
      </c>
      <c r="K882" s="7">
        <f t="shared" si="201"/>
        <v>0</v>
      </c>
      <c r="L882" s="36">
        <f t="shared" si="195"/>
        <v>2886.3</v>
      </c>
      <c r="M882" s="7">
        <f t="shared" si="201"/>
        <v>0</v>
      </c>
      <c r="N882" s="36">
        <f t="shared" si="196"/>
        <v>2886.3</v>
      </c>
      <c r="O882" s="7">
        <f t="shared" si="201"/>
        <v>0</v>
      </c>
      <c r="P882" s="36">
        <f t="shared" si="193"/>
        <v>2886.3</v>
      </c>
      <c r="Q882" s="7">
        <f t="shared" si="201"/>
        <v>-1220.2</v>
      </c>
      <c r="R882" s="36">
        <f t="shared" si="194"/>
        <v>1666.1000000000001</v>
      </c>
    </row>
    <row r="883" spans="1:18" ht="12.75">
      <c r="A883" s="62" t="str">
        <f ca="1">IF(ISERROR(MATCH(E883,Код_КВР,0)),"",INDIRECT(ADDRESS(MATCH(E883,Код_КВР,0)+1,2,,,"КВР")))</f>
        <v>Социальное обеспечение и иные выплаты населению</v>
      </c>
      <c r="B883" s="46" t="s">
        <v>28</v>
      </c>
      <c r="C883" s="8" t="s">
        <v>196</v>
      </c>
      <c r="D883" s="8" t="s">
        <v>223</v>
      </c>
      <c r="E883" s="115">
        <v>300</v>
      </c>
      <c r="F883" s="7">
        <f t="shared" si="201"/>
        <v>2886.3</v>
      </c>
      <c r="G883" s="7">
        <f t="shared" si="201"/>
        <v>0</v>
      </c>
      <c r="H883" s="36">
        <f t="shared" si="202"/>
        <v>2886.3</v>
      </c>
      <c r="I883" s="7">
        <f t="shared" si="201"/>
        <v>0</v>
      </c>
      <c r="J883" s="36">
        <f t="shared" si="200"/>
        <v>2886.3</v>
      </c>
      <c r="K883" s="7">
        <f t="shared" si="201"/>
        <v>0</v>
      </c>
      <c r="L883" s="36">
        <f t="shared" si="195"/>
        <v>2886.3</v>
      </c>
      <c r="M883" s="7">
        <f t="shared" si="201"/>
        <v>0</v>
      </c>
      <c r="N883" s="36">
        <f t="shared" si="196"/>
        <v>2886.3</v>
      </c>
      <c r="O883" s="7">
        <f t="shared" si="201"/>
        <v>0</v>
      </c>
      <c r="P883" s="36">
        <f t="shared" si="193"/>
        <v>2886.3</v>
      </c>
      <c r="Q883" s="7">
        <f t="shared" si="201"/>
        <v>-1220.2</v>
      </c>
      <c r="R883" s="36">
        <f t="shared" si="194"/>
        <v>1666.1000000000001</v>
      </c>
    </row>
    <row r="884" spans="1:18" ht="33">
      <c r="A884" s="62" t="str">
        <f ca="1">IF(ISERROR(MATCH(E884,Код_КВР,0)),"",INDIRECT(ADDRESS(MATCH(E884,Код_КВР,0)+1,2,,,"КВР")))</f>
        <v>Социальные выплаты гражданам, кроме публичных нормативных социальных выплат</v>
      </c>
      <c r="B884" s="46" t="s">
        <v>28</v>
      </c>
      <c r="C884" s="8" t="s">
        <v>196</v>
      </c>
      <c r="D884" s="8" t="s">
        <v>223</v>
      </c>
      <c r="E884" s="115">
        <v>320</v>
      </c>
      <c r="F884" s="7">
        <f t="shared" si="201"/>
        <v>2886.3</v>
      </c>
      <c r="G884" s="7">
        <f t="shared" si="201"/>
        <v>0</v>
      </c>
      <c r="H884" s="36">
        <f t="shared" si="202"/>
        <v>2886.3</v>
      </c>
      <c r="I884" s="7">
        <f t="shared" si="201"/>
        <v>0</v>
      </c>
      <c r="J884" s="36">
        <f t="shared" si="200"/>
        <v>2886.3</v>
      </c>
      <c r="K884" s="7">
        <f t="shared" si="201"/>
        <v>0</v>
      </c>
      <c r="L884" s="36">
        <f t="shared" si="195"/>
        <v>2886.3</v>
      </c>
      <c r="M884" s="7">
        <f t="shared" si="201"/>
        <v>0</v>
      </c>
      <c r="N884" s="36">
        <f t="shared" si="196"/>
        <v>2886.3</v>
      </c>
      <c r="O884" s="7">
        <f t="shared" si="201"/>
        <v>0</v>
      </c>
      <c r="P884" s="36">
        <f t="shared" si="193"/>
        <v>2886.3</v>
      </c>
      <c r="Q884" s="7">
        <f t="shared" si="201"/>
        <v>-1220.2</v>
      </c>
      <c r="R884" s="36">
        <f t="shared" si="194"/>
        <v>1666.1000000000001</v>
      </c>
    </row>
    <row r="885" spans="1:18" ht="12.75">
      <c r="A885" s="62" t="str">
        <f ca="1">IF(ISERROR(MATCH(E885,Код_КВР,0)),"",INDIRECT(ADDRESS(MATCH(E885,Код_КВР,0)+1,2,,,"КВР")))</f>
        <v>Субсидии гражданам на приобретение жилья</v>
      </c>
      <c r="B885" s="46" t="s">
        <v>28</v>
      </c>
      <c r="C885" s="8" t="s">
        <v>196</v>
      </c>
      <c r="D885" s="8" t="s">
        <v>223</v>
      </c>
      <c r="E885" s="115">
        <v>322</v>
      </c>
      <c r="F885" s="7">
        <f>'прил.5'!G343</f>
        <v>2886.3</v>
      </c>
      <c r="G885" s="7">
        <f>'прил.5'!H343</f>
        <v>0</v>
      </c>
      <c r="H885" s="36">
        <f t="shared" si="202"/>
        <v>2886.3</v>
      </c>
      <c r="I885" s="7">
        <f>'прил.5'!J343</f>
        <v>0</v>
      </c>
      <c r="J885" s="36">
        <f t="shared" si="200"/>
        <v>2886.3</v>
      </c>
      <c r="K885" s="7">
        <f>'прил.5'!L343</f>
        <v>0</v>
      </c>
      <c r="L885" s="36">
        <f t="shared" si="195"/>
        <v>2886.3</v>
      </c>
      <c r="M885" s="7">
        <f>'прил.5'!N343</f>
        <v>0</v>
      </c>
      <c r="N885" s="36">
        <f t="shared" si="196"/>
        <v>2886.3</v>
      </c>
      <c r="O885" s="7">
        <f>'прил.5'!P343</f>
        <v>0</v>
      </c>
      <c r="P885" s="36">
        <f t="shared" si="193"/>
        <v>2886.3</v>
      </c>
      <c r="Q885" s="7">
        <f>'прил.5'!R343</f>
        <v>-1220.2</v>
      </c>
      <c r="R885" s="36">
        <f t="shared" si="194"/>
        <v>1666.1000000000001</v>
      </c>
    </row>
    <row r="886" spans="1:18" ht="54.75" customHeight="1">
      <c r="A886" s="62" t="str">
        <f ca="1">IF(ISERROR(MATCH(B886,Код_КЦСР,0)),"",INDIRECT(ADDRESS(MATCH(B886,Код_КЦСР,0)+1,2,,,"КЦСР")))</f>
        <v>Мероприятия подпрограммы "Обеспечение жильем молодых семей" федеральной целевой программы "Жилище" на 2011-2015 годы за счет субсидий из федерального бюджета</v>
      </c>
      <c r="B886" s="46" t="s">
        <v>652</v>
      </c>
      <c r="C886" s="8"/>
      <c r="D886" s="1"/>
      <c r="E886" s="121"/>
      <c r="F886" s="7"/>
      <c r="G886" s="7"/>
      <c r="H886" s="36"/>
      <c r="I886" s="7"/>
      <c r="J886" s="36"/>
      <c r="K886" s="7"/>
      <c r="L886" s="36"/>
      <c r="M886" s="7"/>
      <c r="N886" s="36"/>
      <c r="O886" s="7"/>
      <c r="P886" s="36"/>
      <c r="Q886" s="7">
        <f>Q888</f>
        <v>804</v>
      </c>
      <c r="R886" s="36">
        <f t="shared" si="194"/>
        <v>804</v>
      </c>
    </row>
    <row r="887" spans="1:18" ht="22.9" customHeight="1">
      <c r="A887" s="62" t="str">
        <f ca="1">IF(ISERROR(MATCH(C887,Код_Раздел,0)),"",INDIRECT(ADDRESS(MATCH(C887,Код_Раздел,0)+1,2,,,"Раздел")))</f>
        <v>Социальная политика</v>
      </c>
      <c r="B887" s="46" t="s">
        <v>652</v>
      </c>
      <c r="C887" s="8" t="s">
        <v>196</v>
      </c>
      <c r="D887" s="1"/>
      <c r="E887" s="142"/>
      <c r="F887" s="7"/>
      <c r="G887" s="7"/>
      <c r="H887" s="36"/>
      <c r="I887" s="7"/>
      <c r="J887" s="36"/>
      <c r="K887" s="7"/>
      <c r="L887" s="36"/>
      <c r="M887" s="7"/>
      <c r="N887" s="36"/>
      <c r="O887" s="7"/>
      <c r="P887" s="36"/>
      <c r="Q887" s="7">
        <f>Q888</f>
        <v>804</v>
      </c>
      <c r="R887" s="36">
        <f t="shared" si="194"/>
        <v>804</v>
      </c>
    </row>
    <row r="888" spans="1:18" ht="27.2" customHeight="1">
      <c r="A888" s="62" t="str">
        <f ca="1">IF(ISERROR(MATCH(E888,Код_КВР,0)),"",INDIRECT(ADDRESS(MATCH(E888,Код_КВР,0)+1,2,,,"КВР")))</f>
        <v>Социальное обеспечение и иные выплаты населению</v>
      </c>
      <c r="B888" s="46" t="s">
        <v>652</v>
      </c>
      <c r="C888" s="8" t="s">
        <v>196</v>
      </c>
      <c r="D888" s="8" t="s">
        <v>223</v>
      </c>
      <c r="E888" s="121">
        <v>300</v>
      </c>
      <c r="F888" s="7"/>
      <c r="G888" s="7"/>
      <c r="H888" s="36"/>
      <c r="I888" s="7"/>
      <c r="J888" s="36"/>
      <c r="K888" s="7"/>
      <c r="L888" s="36"/>
      <c r="M888" s="7"/>
      <c r="N888" s="36"/>
      <c r="O888" s="7"/>
      <c r="P888" s="36"/>
      <c r="Q888" s="7">
        <f>Q889</f>
        <v>804</v>
      </c>
      <c r="R888" s="36">
        <f t="shared" si="194"/>
        <v>804</v>
      </c>
    </row>
    <row r="889" spans="1:18" ht="33">
      <c r="A889" s="62" t="str">
        <f ca="1">IF(ISERROR(MATCH(E889,Код_КВР,0)),"",INDIRECT(ADDRESS(MATCH(E889,Код_КВР,0)+1,2,,,"КВР")))</f>
        <v>Социальные выплаты гражданам, кроме публичных нормативных социальных выплат</v>
      </c>
      <c r="B889" s="46" t="s">
        <v>652</v>
      </c>
      <c r="C889" s="8" t="s">
        <v>196</v>
      </c>
      <c r="D889" s="8" t="s">
        <v>223</v>
      </c>
      <c r="E889" s="121">
        <v>320</v>
      </c>
      <c r="F889" s="7"/>
      <c r="G889" s="7"/>
      <c r="H889" s="36"/>
      <c r="I889" s="7"/>
      <c r="J889" s="36"/>
      <c r="K889" s="7"/>
      <c r="L889" s="36"/>
      <c r="M889" s="7"/>
      <c r="N889" s="36"/>
      <c r="O889" s="7"/>
      <c r="P889" s="36"/>
      <c r="Q889" s="7">
        <f>Q890</f>
        <v>804</v>
      </c>
      <c r="R889" s="36">
        <f t="shared" si="194"/>
        <v>804</v>
      </c>
    </row>
    <row r="890" spans="1:18" ht="26.25" customHeight="1">
      <c r="A890" s="62" t="str">
        <f ca="1">IF(ISERROR(MATCH(E890,Код_КВР,0)),"",INDIRECT(ADDRESS(MATCH(E890,Код_КВР,0)+1,2,,,"КВР")))</f>
        <v>Субсидии гражданам на приобретение жилья</v>
      </c>
      <c r="B890" s="46" t="s">
        <v>652</v>
      </c>
      <c r="C890" s="8" t="s">
        <v>196</v>
      </c>
      <c r="D890" s="8" t="s">
        <v>223</v>
      </c>
      <c r="E890" s="121">
        <v>322</v>
      </c>
      <c r="F890" s="7"/>
      <c r="G890" s="7"/>
      <c r="H890" s="36"/>
      <c r="I890" s="7"/>
      <c r="J890" s="36"/>
      <c r="K890" s="7"/>
      <c r="L890" s="36"/>
      <c r="M890" s="7"/>
      <c r="N890" s="36"/>
      <c r="O890" s="7"/>
      <c r="P890" s="36"/>
      <c r="Q890" s="7">
        <f>'прил.5'!R347</f>
        <v>804</v>
      </c>
      <c r="R890" s="36">
        <f t="shared" si="194"/>
        <v>804</v>
      </c>
    </row>
    <row r="891" spans="1:18" ht="141.75" customHeight="1">
      <c r="A891" s="62" t="str">
        <f ca="1">IF(ISERROR(MATCH(B891,Код_КЦСР,0)),"",INDIRECT(ADDRESS(MATCH(B891,Код_КЦСР,0)+1,2,,,"КЦСР")))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891" s="46" t="s">
        <v>427</v>
      </c>
      <c r="C891" s="8"/>
      <c r="D891" s="1"/>
      <c r="E891" s="115"/>
      <c r="F891" s="7">
        <f t="shared" si="201"/>
        <v>0</v>
      </c>
      <c r="G891" s="7">
        <f t="shared" si="201"/>
        <v>0</v>
      </c>
      <c r="H891" s="36">
        <f t="shared" si="202"/>
        <v>0</v>
      </c>
      <c r="I891" s="7">
        <f t="shared" si="201"/>
        <v>0</v>
      </c>
      <c r="J891" s="36">
        <f t="shared" si="200"/>
        <v>0</v>
      </c>
      <c r="K891" s="7">
        <f t="shared" si="201"/>
        <v>0</v>
      </c>
      <c r="L891" s="36">
        <f t="shared" si="195"/>
        <v>0</v>
      </c>
      <c r="M891" s="7">
        <f t="shared" si="201"/>
        <v>0</v>
      </c>
      <c r="N891" s="36">
        <f t="shared" si="196"/>
        <v>0</v>
      </c>
      <c r="O891" s="7">
        <f t="shared" si="201"/>
        <v>0</v>
      </c>
      <c r="P891" s="36">
        <f t="shared" si="193"/>
        <v>0</v>
      </c>
      <c r="Q891" s="7">
        <f t="shared" si="201"/>
        <v>920.2</v>
      </c>
      <c r="R891" s="36">
        <f t="shared" si="194"/>
        <v>920.2</v>
      </c>
    </row>
    <row r="892" spans="1:18" ht="12.75">
      <c r="A892" s="62" t="str">
        <f ca="1">IF(ISERROR(MATCH(C892,Код_Раздел,0)),"",INDIRECT(ADDRESS(MATCH(C892,Код_Раздел,0)+1,2,,,"Раздел")))</f>
        <v>Социальная политика</v>
      </c>
      <c r="B892" s="46" t="s">
        <v>427</v>
      </c>
      <c r="C892" s="8" t="s">
        <v>196</v>
      </c>
      <c r="D892" s="1"/>
      <c r="E892" s="115"/>
      <c r="F892" s="7">
        <f t="shared" si="201"/>
        <v>0</v>
      </c>
      <c r="G892" s="7">
        <f t="shared" si="201"/>
        <v>0</v>
      </c>
      <c r="H892" s="36">
        <f t="shared" si="202"/>
        <v>0</v>
      </c>
      <c r="I892" s="7">
        <f t="shared" si="201"/>
        <v>0</v>
      </c>
      <c r="J892" s="36">
        <f t="shared" si="200"/>
        <v>0</v>
      </c>
      <c r="K892" s="7">
        <f t="shared" si="201"/>
        <v>0</v>
      </c>
      <c r="L892" s="36">
        <f t="shared" si="195"/>
        <v>0</v>
      </c>
      <c r="M892" s="7">
        <f t="shared" si="201"/>
        <v>0</v>
      </c>
      <c r="N892" s="36">
        <f t="shared" si="196"/>
        <v>0</v>
      </c>
      <c r="O892" s="7">
        <f t="shared" si="201"/>
        <v>0</v>
      </c>
      <c r="P892" s="36">
        <f t="shared" si="193"/>
        <v>0</v>
      </c>
      <c r="Q892" s="7">
        <f t="shared" si="201"/>
        <v>920.2</v>
      </c>
      <c r="R892" s="36">
        <f t="shared" si="194"/>
        <v>920.2</v>
      </c>
    </row>
    <row r="893" spans="1:18" ht="12.75">
      <c r="A893" s="12" t="s">
        <v>187</v>
      </c>
      <c r="B893" s="46" t="s">
        <v>427</v>
      </c>
      <c r="C893" s="8" t="s">
        <v>196</v>
      </c>
      <c r="D893" s="8" t="s">
        <v>223</v>
      </c>
      <c r="E893" s="115"/>
      <c r="F893" s="7">
        <f t="shared" si="201"/>
        <v>0</v>
      </c>
      <c r="G893" s="7">
        <f t="shared" si="201"/>
        <v>0</v>
      </c>
      <c r="H893" s="36">
        <f t="shared" si="202"/>
        <v>0</v>
      </c>
      <c r="I893" s="7">
        <f t="shared" si="201"/>
        <v>0</v>
      </c>
      <c r="J893" s="36">
        <f t="shared" si="200"/>
        <v>0</v>
      </c>
      <c r="K893" s="7">
        <f t="shared" si="201"/>
        <v>0</v>
      </c>
      <c r="L893" s="36">
        <f t="shared" si="195"/>
        <v>0</v>
      </c>
      <c r="M893" s="7">
        <f t="shared" si="201"/>
        <v>0</v>
      </c>
      <c r="N893" s="36">
        <f t="shared" si="196"/>
        <v>0</v>
      </c>
      <c r="O893" s="7">
        <f t="shared" si="201"/>
        <v>0</v>
      </c>
      <c r="P893" s="36">
        <f t="shared" si="193"/>
        <v>0</v>
      </c>
      <c r="Q893" s="7">
        <f t="shared" si="201"/>
        <v>920.2</v>
      </c>
      <c r="R893" s="36">
        <f t="shared" si="194"/>
        <v>920.2</v>
      </c>
    </row>
    <row r="894" spans="1:18" ht="12.75">
      <c r="A894" s="62" t="str">
        <f ca="1">IF(ISERROR(MATCH(E894,Код_КВР,0)),"",INDIRECT(ADDRESS(MATCH(E894,Код_КВР,0)+1,2,,,"КВР")))</f>
        <v>Социальное обеспечение и иные выплаты населению</v>
      </c>
      <c r="B894" s="46" t="s">
        <v>427</v>
      </c>
      <c r="C894" s="8" t="s">
        <v>196</v>
      </c>
      <c r="D894" s="8" t="s">
        <v>223</v>
      </c>
      <c r="E894" s="115">
        <v>300</v>
      </c>
      <c r="F894" s="7">
        <f t="shared" si="201"/>
        <v>0</v>
      </c>
      <c r="G894" s="7">
        <f t="shared" si="201"/>
        <v>0</v>
      </c>
      <c r="H894" s="36">
        <f t="shared" si="202"/>
        <v>0</v>
      </c>
      <c r="I894" s="7">
        <f t="shared" si="201"/>
        <v>0</v>
      </c>
      <c r="J894" s="36">
        <f t="shared" si="200"/>
        <v>0</v>
      </c>
      <c r="K894" s="7">
        <f t="shared" si="201"/>
        <v>0</v>
      </c>
      <c r="L894" s="36">
        <f t="shared" si="195"/>
        <v>0</v>
      </c>
      <c r="M894" s="7">
        <f t="shared" si="201"/>
        <v>0</v>
      </c>
      <c r="N894" s="36">
        <f t="shared" si="196"/>
        <v>0</v>
      </c>
      <c r="O894" s="7">
        <f t="shared" si="201"/>
        <v>0</v>
      </c>
      <c r="P894" s="36">
        <f t="shared" si="193"/>
        <v>0</v>
      </c>
      <c r="Q894" s="7">
        <f t="shared" si="201"/>
        <v>920.2</v>
      </c>
      <c r="R894" s="36">
        <f t="shared" si="194"/>
        <v>920.2</v>
      </c>
    </row>
    <row r="895" spans="1:18" ht="33">
      <c r="A895" s="62" t="str">
        <f ca="1">IF(ISERROR(MATCH(E895,Код_КВР,0)),"",INDIRECT(ADDRESS(MATCH(E895,Код_КВР,0)+1,2,,,"КВР")))</f>
        <v>Социальные выплаты гражданам, кроме публичных нормативных социальных выплат</v>
      </c>
      <c r="B895" s="46" t="s">
        <v>427</v>
      </c>
      <c r="C895" s="8" t="s">
        <v>196</v>
      </c>
      <c r="D895" s="8" t="s">
        <v>223</v>
      </c>
      <c r="E895" s="115">
        <v>320</v>
      </c>
      <c r="F895" s="7">
        <f t="shared" si="201"/>
        <v>0</v>
      </c>
      <c r="G895" s="7">
        <f t="shared" si="201"/>
        <v>0</v>
      </c>
      <c r="H895" s="36">
        <f t="shared" si="202"/>
        <v>0</v>
      </c>
      <c r="I895" s="7">
        <f t="shared" si="201"/>
        <v>0</v>
      </c>
      <c r="J895" s="36">
        <f t="shared" si="200"/>
        <v>0</v>
      </c>
      <c r="K895" s="7">
        <f t="shared" si="201"/>
        <v>0</v>
      </c>
      <c r="L895" s="36">
        <f t="shared" si="195"/>
        <v>0</v>
      </c>
      <c r="M895" s="7">
        <f t="shared" si="201"/>
        <v>0</v>
      </c>
      <c r="N895" s="36">
        <f t="shared" si="196"/>
        <v>0</v>
      </c>
      <c r="O895" s="7">
        <f t="shared" si="201"/>
        <v>0</v>
      </c>
      <c r="P895" s="36">
        <f t="shared" si="193"/>
        <v>0</v>
      </c>
      <c r="Q895" s="7">
        <f t="shared" si="201"/>
        <v>920.2</v>
      </c>
      <c r="R895" s="36">
        <f t="shared" si="194"/>
        <v>920.2</v>
      </c>
    </row>
    <row r="896" spans="1:18" ht="12.75">
      <c r="A896" s="62" t="str">
        <f ca="1">IF(ISERROR(MATCH(E896,Код_КВР,0)),"",INDIRECT(ADDRESS(MATCH(E896,Код_КВР,0)+1,2,,,"КВР")))</f>
        <v>Субсидии гражданам на приобретение жилья</v>
      </c>
      <c r="B896" s="46" t="s">
        <v>427</v>
      </c>
      <c r="C896" s="8" t="s">
        <v>196</v>
      </c>
      <c r="D896" s="8" t="s">
        <v>223</v>
      </c>
      <c r="E896" s="115">
        <v>322</v>
      </c>
      <c r="F896" s="7">
        <f>'прил.5'!G351</f>
        <v>0</v>
      </c>
      <c r="G896" s="7">
        <f>'прил.5'!H351</f>
        <v>0</v>
      </c>
      <c r="H896" s="36">
        <f t="shared" si="202"/>
        <v>0</v>
      </c>
      <c r="I896" s="7">
        <f>'прил.5'!J351</f>
        <v>0</v>
      </c>
      <c r="J896" s="36">
        <f t="shared" si="200"/>
        <v>0</v>
      </c>
      <c r="K896" s="7">
        <f>'прил.5'!L351</f>
        <v>0</v>
      </c>
      <c r="L896" s="36">
        <f t="shared" si="195"/>
        <v>0</v>
      </c>
      <c r="M896" s="7">
        <f>'прил.5'!N351</f>
        <v>0</v>
      </c>
      <c r="N896" s="36">
        <f t="shared" si="196"/>
        <v>0</v>
      </c>
      <c r="O896" s="7">
        <f>'прил.5'!P351</f>
        <v>0</v>
      </c>
      <c r="P896" s="36">
        <f t="shared" si="193"/>
        <v>0</v>
      </c>
      <c r="Q896" s="7">
        <f>'прил.5'!R351</f>
        <v>920.2</v>
      </c>
      <c r="R896" s="36">
        <f t="shared" si="194"/>
        <v>920.2</v>
      </c>
    </row>
    <row r="897" spans="1:18" ht="33">
      <c r="A897" s="62" t="str">
        <f ca="1">IF(ISERROR(MATCH(B897,Код_КЦСР,0)),"",INDIRECT(ADDRESS(MATCH(B897,Код_КЦСР,0)+1,2,,,"КЦСР")))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897" s="46" t="s">
        <v>30</v>
      </c>
      <c r="C897" s="8"/>
      <c r="D897" s="1"/>
      <c r="E897" s="115"/>
      <c r="F897" s="7">
        <f aca="true" t="shared" si="203" ref="F897:Q902">F898</f>
        <v>9169.8</v>
      </c>
      <c r="G897" s="7">
        <f t="shared" si="203"/>
        <v>0</v>
      </c>
      <c r="H897" s="36">
        <f t="shared" si="202"/>
        <v>9169.8</v>
      </c>
      <c r="I897" s="7">
        <f t="shared" si="203"/>
        <v>0</v>
      </c>
      <c r="J897" s="36">
        <f t="shared" si="200"/>
        <v>9169.8</v>
      </c>
      <c r="K897" s="7">
        <f t="shared" si="203"/>
        <v>0</v>
      </c>
      <c r="L897" s="36">
        <f t="shared" si="195"/>
        <v>9169.8</v>
      </c>
      <c r="M897" s="7">
        <f t="shared" si="203"/>
        <v>0</v>
      </c>
      <c r="N897" s="36">
        <f t="shared" si="196"/>
        <v>9169.8</v>
      </c>
      <c r="O897" s="7">
        <f t="shared" si="203"/>
        <v>0</v>
      </c>
      <c r="P897" s="36">
        <f t="shared" si="193"/>
        <v>9169.8</v>
      </c>
      <c r="Q897" s="7">
        <f t="shared" si="203"/>
        <v>-6634.6</v>
      </c>
      <c r="R897" s="36">
        <f t="shared" si="194"/>
        <v>2535.199999999999</v>
      </c>
    </row>
    <row r="898" spans="1:18" ht="33">
      <c r="A898" s="62" t="str">
        <f ca="1">IF(ISERROR(MATCH(B898,Код_КЦСР,0)),"",INDIRECT(ADDRESS(MATCH(B898,Код_КЦСР,0)+1,2,,,"КЦСР")))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898" s="46" t="s">
        <v>32</v>
      </c>
      <c r="C898" s="8"/>
      <c r="D898" s="1"/>
      <c r="E898" s="115"/>
      <c r="F898" s="7">
        <f t="shared" si="203"/>
        <v>9169.8</v>
      </c>
      <c r="G898" s="7">
        <f t="shared" si="203"/>
        <v>0</v>
      </c>
      <c r="H898" s="36">
        <f t="shared" si="202"/>
        <v>9169.8</v>
      </c>
      <c r="I898" s="7">
        <f t="shared" si="203"/>
        <v>0</v>
      </c>
      <c r="J898" s="36">
        <f t="shared" si="200"/>
        <v>9169.8</v>
      </c>
      <c r="K898" s="7">
        <f t="shared" si="203"/>
        <v>0</v>
      </c>
      <c r="L898" s="36">
        <f t="shared" si="195"/>
        <v>9169.8</v>
      </c>
      <c r="M898" s="7">
        <f t="shared" si="203"/>
        <v>0</v>
      </c>
      <c r="N898" s="36">
        <f t="shared" si="196"/>
        <v>9169.8</v>
      </c>
      <c r="O898" s="7">
        <f t="shared" si="203"/>
        <v>0</v>
      </c>
      <c r="P898" s="36">
        <f t="shared" si="193"/>
        <v>9169.8</v>
      </c>
      <c r="Q898" s="7">
        <f t="shared" si="203"/>
        <v>-6634.6</v>
      </c>
      <c r="R898" s="36">
        <f t="shared" si="194"/>
        <v>2535.199999999999</v>
      </c>
    </row>
    <row r="899" spans="1:18" ht="12.75">
      <c r="A899" s="62" t="str">
        <f ca="1">IF(ISERROR(MATCH(C899,Код_Раздел,0)),"",INDIRECT(ADDRESS(MATCH(C899,Код_Раздел,0)+1,2,,,"Раздел")))</f>
        <v>Социальная политика</v>
      </c>
      <c r="B899" s="46" t="s">
        <v>32</v>
      </c>
      <c r="C899" s="8" t="s">
        <v>196</v>
      </c>
      <c r="D899" s="1"/>
      <c r="E899" s="115"/>
      <c r="F899" s="7">
        <f t="shared" si="203"/>
        <v>9169.8</v>
      </c>
      <c r="G899" s="7">
        <f t="shared" si="203"/>
        <v>0</v>
      </c>
      <c r="H899" s="36">
        <f t="shared" si="202"/>
        <v>9169.8</v>
      </c>
      <c r="I899" s="7">
        <f t="shared" si="203"/>
        <v>0</v>
      </c>
      <c r="J899" s="36">
        <f t="shared" si="200"/>
        <v>9169.8</v>
      </c>
      <c r="K899" s="7">
        <f t="shared" si="203"/>
        <v>0</v>
      </c>
      <c r="L899" s="36">
        <f t="shared" si="195"/>
        <v>9169.8</v>
      </c>
      <c r="M899" s="7">
        <f t="shared" si="203"/>
        <v>0</v>
      </c>
      <c r="N899" s="36">
        <f t="shared" si="196"/>
        <v>9169.8</v>
      </c>
      <c r="O899" s="7">
        <f t="shared" si="203"/>
        <v>0</v>
      </c>
      <c r="P899" s="36">
        <f t="shared" si="193"/>
        <v>9169.8</v>
      </c>
      <c r="Q899" s="7">
        <f t="shared" si="203"/>
        <v>-6634.6</v>
      </c>
      <c r="R899" s="36">
        <f t="shared" si="194"/>
        <v>2535.199999999999</v>
      </c>
    </row>
    <row r="900" spans="1:18" ht="12.75">
      <c r="A900" s="12" t="s">
        <v>187</v>
      </c>
      <c r="B900" s="46" t="s">
        <v>32</v>
      </c>
      <c r="C900" s="8" t="s">
        <v>196</v>
      </c>
      <c r="D900" s="8" t="s">
        <v>223</v>
      </c>
      <c r="E900" s="115"/>
      <c r="F900" s="7">
        <f t="shared" si="203"/>
        <v>9169.8</v>
      </c>
      <c r="G900" s="7">
        <f t="shared" si="203"/>
        <v>0</v>
      </c>
      <c r="H900" s="36">
        <f t="shared" si="202"/>
        <v>9169.8</v>
      </c>
      <c r="I900" s="7">
        <f t="shared" si="203"/>
        <v>0</v>
      </c>
      <c r="J900" s="36">
        <f t="shared" si="200"/>
        <v>9169.8</v>
      </c>
      <c r="K900" s="7">
        <f t="shared" si="203"/>
        <v>0</v>
      </c>
      <c r="L900" s="36">
        <f t="shared" si="195"/>
        <v>9169.8</v>
      </c>
      <c r="M900" s="7">
        <f t="shared" si="203"/>
        <v>0</v>
      </c>
      <c r="N900" s="36">
        <f t="shared" si="196"/>
        <v>9169.8</v>
      </c>
      <c r="O900" s="7">
        <f t="shared" si="203"/>
        <v>0</v>
      </c>
      <c r="P900" s="36">
        <f t="shared" si="193"/>
        <v>9169.8</v>
      </c>
      <c r="Q900" s="7">
        <f t="shared" si="203"/>
        <v>-6634.6</v>
      </c>
      <c r="R900" s="36">
        <f t="shared" si="194"/>
        <v>2535.199999999999</v>
      </c>
    </row>
    <row r="901" spans="1:18" ht="12.75">
      <c r="A901" s="62" t="str">
        <f ca="1">IF(ISERROR(MATCH(E901,Код_КВР,0)),"",INDIRECT(ADDRESS(MATCH(E901,Код_КВР,0)+1,2,,,"КВР")))</f>
        <v>Социальное обеспечение и иные выплаты населению</v>
      </c>
      <c r="B901" s="46" t="s">
        <v>32</v>
      </c>
      <c r="C901" s="8" t="s">
        <v>196</v>
      </c>
      <c r="D901" s="8" t="s">
        <v>223</v>
      </c>
      <c r="E901" s="115">
        <v>300</v>
      </c>
      <c r="F901" s="7">
        <f t="shared" si="203"/>
        <v>9169.8</v>
      </c>
      <c r="G901" s="7">
        <f t="shared" si="203"/>
        <v>0</v>
      </c>
      <c r="H901" s="36">
        <f t="shared" si="202"/>
        <v>9169.8</v>
      </c>
      <c r="I901" s="7">
        <f t="shared" si="203"/>
        <v>0</v>
      </c>
      <c r="J901" s="36">
        <f t="shared" si="200"/>
        <v>9169.8</v>
      </c>
      <c r="K901" s="7">
        <f t="shared" si="203"/>
        <v>0</v>
      </c>
      <c r="L901" s="36">
        <f t="shared" si="195"/>
        <v>9169.8</v>
      </c>
      <c r="M901" s="7">
        <f t="shared" si="203"/>
        <v>0</v>
      </c>
      <c r="N901" s="36">
        <f t="shared" si="196"/>
        <v>9169.8</v>
      </c>
      <c r="O901" s="7">
        <f t="shared" si="203"/>
        <v>0</v>
      </c>
      <c r="P901" s="36">
        <f t="shared" si="193"/>
        <v>9169.8</v>
      </c>
      <c r="Q901" s="7">
        <f t="shared" si="203"/>
        <v>-6634.6</v>
      </c>
      <c r="R901" s="36">
        <f t="shared" si="194"/>
        <v>2535.199999999999</v>
      </c>
    </row>
    <row r="902" spans="1:18" ht="33">
      <c r="A902" s="62" t="str">
        <f ca="1">IF(ISERROR(MATCH(E902,Код_КВР,0)),"",INDIRECT(ADDRESS(MATCH(E902,Код_КВР,0)+1,2,,,"КВР")))</f>
        <v>Социальные выплаты гражданам, кроме публичных нормативных социальных выплат</v>
      </c>
      <c r="B902" s="46" t="s">
        <v>32</v>
      </c>
      <c r="C902" s="8" t="s">
        <v>196</v>
      </c>
      <c r="D902" s="8" t="s">
        <v>223</v>
      </c>
      <c r="E902" s="115">
        <v>320</v>
      </c>
      <c r="F902" s="7">
        <f t="shared" si="203"/>
        <v>9169.8</v>
      </c>
      <c r="G902" s="7">
        <f t="shared" si="203"/>
        <v>0</v>
      </c>
      <c r="H902" s="36">
        <f t="shared" si="202"/>
        <v>9169.8</v>
      </c>
      <c r="I902" s="7">
        <f t="shared" si="203"/>
        <v>0</v>
      </c>
      <c r="J902" s="36">
        <f t="shared" si="200"/>
        <v>9169.8</v>
      </c>
      <c r="K902" s="7">
        <f t="shared" si="203"/>
        <v>0</v>
      </c>
      <c r="L902" s="36">
        <f t="shared" si="195"/>
        <v>9169.8</v>
      </c>
      <c r="M902" s="7">
        <f t="shared" si="203"/>
        <v>0</v>
      </c>
      <c r="N902" s="36">
        <f t="shared" si="196"/>
        <v>9169.8</v>
      </c>
      <c r="O902" s="7">
        <f t="shared" si="203"/>
        <v>0</v>
      </c>
      <c r="P902" s="36">
        <f t="shared" si="193"/>
        <v>9169.8</v>
      </c>
      <c r="Q902" s="7">
        <f t="shared" si="203"/>
        <v>-6634.6</v>
      </c>
      <c r="R902" s="36">
        <f t="shared" si="194"/>
        <v>2535.199999999999</v>
      </c>
    </row>
    <row r="903" spans="1:18" ht="33">
      <c r="A903" s="62" t="str">
        <f ca="1">IF(ISERROR(MATCH(E903,Код_КВР,0)),"",INDIRECT(ADDRESS(MATCH(E903,Код_КВР,0)+1,2,,,"КВР")))</f>
        <v>Пособия, компенсации и иные социальные выплаты гражданам, кроме публичных нормативных обязательств</v>
      </c>
      <c r="B903" s="46" t="s">
        <v>32</v>
      </c>
      <c r="C903" s="8" t="s">
        <v>196</v>
      </c>
      <c r="D903" s="8" t="s">
        <v>223</v>
      </c>
      <c r="E903" s="115">
        <v>321</v>
      </c>
      <c r="F903" s="7">
        <f>'прил.5'!G356</f>
        <v>9169.8</v>
      </c>
      <c r="G903" s="7">
        <f>'прил.5'!H356</f>
        <v>0</v>
      </c>
      <c r="H903" s="36">
        <f t="shared" si="202"/>
        <v>9169.8</v>
      </c>
      <c r="I903" s="7">
        <f>'прил.5'!J356</f>
        <v>0</v>
      </c>
      <c r="J903" s="36">
        <f t="shared" si="200"/>
        <v>9169.8</v>
      </c>
      <c r="K903" s="7">
        <f>'прил.5'!L356</f>
        <v>0</v>
      </c>
      <c r="L903" s="36">
        <f t="shared" si="195"/>
        <v>9169.8</v>
      </c>
      <c r="M903" s="7">
        <f>'прил.5'!N356</f>
        <v>0</v>
      </c>
      <c r="N903" s="36">
        <f t="shared" si="196"/>
        <v>9169.8</v>
      </c>
      <c r="O903" s="7">
        <f>'прил.5'!P356</f>
        <v>0</v>
      </c>
      <c r="P903" s="36">
        <f t="shared" si="193"/>
        <v>9169.8</v>
      </c>
      <c r="Q903" s="7">
        <f>'прил.5'!R356</f>
        <v>-6634.6</v>
      </c>
      <c r="R903" s="36">
        <f t="shared" si="194"/>
        <v>2535.199999999999</v>
      </c>
    </row>
    <row r="904" spans="1:18" ht="52.7" customHeight="1">
      <c r="A904" s="62" t="str">
        <f ca="1">IF(ISERROR(MATCH(B904,Код_КЦСР,0)),"",INDIRECT(ADDRESS(MATCH(B904,Код_КЦСР,0)+1,2,,,"КЦСР")))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904" s="46" t="s">
        <v>34</v>
      </c>
      <c r="C904" s="8"/>
      <c r="D904" s="1"/>
      <c r="E904" s="115"/>
      <c r="F904" s="7">
        <f aca="true" t="shared" si="204" ref="F904:Q910">F905</f>
        <v>1500</v>
      </c>
      <c r="G904" s="7">
        <f t="shared" si="204"/>
        <v>0</v>
      </c>
      <c r="H904" s="36">
        <f t="shared" si="202"/>
        <v>1500</v>
      </c>
      <c r="I904" s="7">
        <f t="shared" si="204"/>
        <v>0</v>
      </c>
      <c r="J904" s="36">
        <f t="shared" si="200"/>
        <v>1500</v>
      </c>
      <c r="K904" s="7">
        <f t="shared" si="204"/>
        <v>-270.4</v>
      </c>
      <c r="L904" s="36">
        <f t="shared" si="195"/>
        <v>1229.6</v>
      </c>
      <c r="M904" s="7">
        <f t="shared" si="204"/>
        <v>0</v>
      </c>
      <c r="N904" s="36">
        <f t="shared" si="196"/>
        <v>1229.6</v>
      </c>
      <c r="O904" s="7">
        <f t="shared" si="204"/>
        <v>0</v>
      </c>
      <c r="P904" s="36">
        <f t="shared" si="193"/>
        <v>1229.6</v>
      </c>
      <c r="Q904" s="7">
        <f t="shared" si="204"/>
        <v>-336.9</v>
      </c>
      <c r="R904" s="36">
        <f t="shared" si="194"/>
        <v>892.6999999999999</v>
      </c>
    </row>
    <row r="905" spans="1:18" ht="33">
      <c r="A905" s="62" t="str">
        <f ca="1">IF(ISERROR(MATCH(B905,Код_КЦСР,0)),"",INDIRECT(ADDRESS(MATCH(B905,Код_КЦСР,0)+1,2,,,"КЦСР")))</f>
        <v>Энергосбережение и повышение энергетической эффективности в жилищном фонде</v>
      </c>
      <c r="B905" s="46" t="s">
        <v>35</v>
      </c>
      <c r="C905" s="8"/>
      <c r="D905" s="1"/>
      <c r="E905" s="115"/>
      <c r="F905" s="7">
        <f t="shared" si="204"/>
        <v>1500</v>
      </c>
      <c r="G905" s="7">
        <f t="shared" si="204"/>
        <v>0</v>
      </c>
      <c r="H905" s="36">
        <f t="shared" si="202"/>
        <v>1500</v>
      </c>
      <c r="I905" s="7">
        <f t="shared" si="204"/>
        <v>0</v>
      </c>
      <c r="J905" s="36">
        <f t="shared" si="200"/>
        <v>1500</v>
      </c>
      <c r="K905" s="7">
        <f t="shared" si="204"/>
        <v>-270.4</v>
      </c>
      <c r="L905" s="36">
        <f t="shared" si="195"/>
        <v>1229.6</v>
      </c>
      <c r="M905" s="7">
        <f t="shared" si="204"/>
        <v>0</v>
      </c>
      <c r="N905" s="36">
        <f t="shared" si="196"/>
        <v>1229.6</v>
      </c>
      <c r="O905" s="7">
        <f t="shared" si="204"/>
        <v>0</v>
      </c>
      <c r="P905" s="36">
        <f t="shared" si="193"/>
        <v>1229.6</v>
      </c>
      <c r="Q905" s="7">
        <f t="shared" si="204"/>
        <v>-336.9</v>
      </c>
      <c r="R905" s="36">
        <f t="shared" si="194"/>
        <v>892.6999999999999</v>
      </c>
    </row>
    <row r="906" spans="1:18" ht="49.5">
      <c r="A906" s="62" t="str">
        <f ca="1">IF(ISERROR(MATCH(B906,Код_КЦСР,0)),"",INDIRECT(ADDRESS(MATCH(B906,Код_КЦСР,0)+1,2,,,"КЦСР")))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906" s="46" t="s">
        <v>37</v>
      </c>
      <c r="C906" s="8"/>
      <c r="D906" s="1"/>
      <c r="E906" s="115"/>
      <c r="F906" s="7">
        <f t="shared" si="204"/>
        <v>1500</v>
      </c>
      <c r="G906" s="7">
        <f t="shared" si="204"/>
        <v>0</v>
      </c>
      <c r="H906" s="36">
        <f t="shared" si="202"/>
        <v>1500</v>
      </c>
      <c r="I906" s="7">
        <f t="shared" si="204"/>
        <v>0</v>
      </c>
      <c r="J906" s="36">
        <f t="shared" si="200"/>
        <v>1500</v>
      </c>
      <c r="K906" s="7">
        <f t="shared" si="204"/>
        <v>-270.4</v>
      </c>
      <c r="L906" s="36">
        <f t="shared" si="195"/>
        <v>1229.6</v>
      </c>
      <c r="M906" s="7">
        <f t="shared" si="204"/>
        <v>0</v>
      </c>
      <c r="N906" s="36">
        <f t="shared" si="196"/>
        <v>1229.6</v>
      </c>
      <c r="O906" s="7">
        <f t="shared" si="204"/>
        <v>0</v>
      </c>
      <c r="P906" s="36">
        <f t="shared" si="193"/>
        <v>1229.6</v>
      </c>
      <c r="Q906" s="7">
        <f t="shared" si="204"/>
        <v>-336.9</v>
      </c>
      <c r="R906" s="36">
        <f t="shared" si="194"/>
        <v>892.6999999999999</v>
      </c>
    </row>
    <row r="907" spans="1:18" ht="12.75">
      <c r="A907" s="62" t="str">
        <f ca="1">IF(ISERROR(MATCH(C907,Код_Раздел,0)),"",INDIRECT(ADDRESS(MATCH(C907,Код_Раздел,0)+1,2,,,"Раздел")))</f>
        <v>Жилищно-коммунальное хозяйство</v>
      </c>
      <c r="B907" s="46" t="s">
        <v>37</v>
      </c>
      <c r="C907" s="8" t="s">
        <v>229</v>
      </c>
      <c r="D907" s="1"/>
      <c r="E907" s="115"/>
      <c r="F907" s="7">
        <f t="shared" si="204"/>
        <v>1500</v>
      </c>
      <c r="G907" s="7">
        <f t="shared" si="204"/>
        <v>0</v>
      </c>
      <c r="H907" s="36">
        <f t="shared" si="202"/>
        <v>1500</v>
      </c>
      <c r="I907" s="7">
        <f t="shared" si="204"/>
        <v>0</v>
      </c>
      <c r="J907" s="36">
        <f t="shared" si="200"/>
        <v>1500</v>
      </c>
      <c r="K907" s="7">
        <f t="shared" si="204"/>
        <v>-270.4</v>
      </c>
      <c r="L907" s="36">
        <f t="shared" si="195"/>
        <v>1229.6</v>
      </c>
      <c r="M907" s="7">
        <f t="shared" si="204"/>
        <v>0</v>
      </c>
      <c r="N907" s="36">
        <f t="shared" si="196"/>
        <v>1229.6</v>
      </c>
      <c r="O907" s="7">
        <f t="shared" si="204"/>
        <v>0</v>
      </c>
      <c r="P907" s="36">
        <f t="shared" si="193"/>
        <v>1229.6</v>
      </c>
      <c r="Q907" s="7">
        <f t="shared" si="204"/>
        <v>-336.9</v>
      </c>
      <c r="R907" s="36">
        <f t="shared" si="194"/>
        <v>892.6999999999999</v>
      </c>
    </row>
    <row r="908" spans="1:18" ht="12.75">
      <c r="A908" s="12" t="s">
        <v>234</v>
      </c>
      <c r="B908" s="46" t="s">
        <v>37</v>
      </c>
      <c r="C908" s="8" t="s">
        <v>229</v>
      </c>
      <c r="D908" s="8" t="s">
        <v>221</v>
      </c>
      <c r="E908" s="115"/>
      <c r="F908" s="7">
        <f t="shared" si="204"/>
        <v>1500</v>
      </c>
      <c r="G908" s="7">
        <f t="shared" si="204"/>
        <v>0</v>
      </c>
      <c r="H908" s="36">
        <f t="shared" si="202"/>
        <v>1500</v>
      </c>
      <c r="I908" s="7">
        <f t="shared" si="204"/>
        <v>0</v>
      </c>
      <c r="J908" s="36">
        <f t="shared" si="200"/>
        <v>1500</v>
      </c>
      <c r="K908" s="7">
        <f t="shared" si="204"/>
        <v>-270.4</v>
      </c>
      <c r="L908" s="36">
        <f t="shared" si="195"/>
        <v>1229.6</v>
      </c>
      <c r="M908" s="7">
        <f t="shared" si="204"/>
        <v>0</v>
      </c>
      <c r="N908" s="36">
        <f t="shared" si="196"/>
        <v>1229.6</v>
      </c>
      <c r="O908" s="7">
        <f t="shared" si="204"/>
        <v>0</v>
      </c>
      <c r="P908" s="36">
        <f t="shared" si="193"/>
        <v>1229.6</v>
      </c>
      <c r="Q908" s="7">
        <f t="shared" si="204"/>
        <v>-336.9</v>
      </c>
      <c r="R908" s="36">
        <f t="shared" si="194"/>
        <v>892.6999999999999</v>
      </c>
    </row>
    <row r="909" spans="1:18" ht="12.75">
      <c r="A909" s="62" t="str">
        <f ca="1">IF(ISERROR(MATCH(E909,Код_КВР,0)),"",INDIRECT(ADDRESS(MATCH(E909,Код_КВР,0)+1,2,,,"КВР")))</f>
        <v>Закупка товаров, работ и услуг для муниципальных нужд</v>
      </c>
      <c r="B909" s="46" t="s">
        <v>37</v>
      </c>
      <c r="C909" s="8" t="s">
        <v>229</v>
      </c>
      <c r="D909" s="8" t="s">
        <v>221</v>
      </c>
      <c r="E909" s="115">
        <v>200</v>
      </c>
      <c r="F909" s="7">
        <f t="shared" si="204"/>
        <v>1500</v>
      </c>
      <c r="G909" s="7">
        <f t="shared" si="204"/>
        <v>0</v>
      </c>
      <c r="H909" s="36">
        <f t="shared" si="202"/>
        <v>1500</v>
      </c>
      <c r="I909" s="7">
        <f t="shared" si="204"/>
        <v>0</v>
      </c>
      <c r="J909" s="36">
        <f t="shared" si="200"/>
        <v>1500</v>
      </c>
      <c r="K909" s="7">
        <f t="shared" si="204"/>
        <v>-270.4</v>
      </c>
      <c r="L909" s="36">
        <f t="shared" si="195"/>
        <v>1229.6</v>
      </c>
      <c r="M909" s="7">
        <f t="shared" si="204"/>
        <v>0</v>
      </c>
      <c r="N909" s="36">
        <f t="shared" si="196"/>
        <v>1229.6</v>
      </c>
      <c r="O909" s="7">
        <f t="shared" si="204"/>
        <v>0</v>
      </c>
      <c r="P909" s="36">
        <f t="shared" si="193"/>
        <v>1229.6</v>
      </c>
      <c r="Q909" s="7">
        <f t="shared" si="204"/>
        <v>-336.9</v>
      </c>
      <c r="R909" s="36">
        <f t="shared" si="194"/>
        <v>892.6999999999999</v>
      </c>
    </row>
    <row r="910" spans="1:18" ht="33">
      <c r="A910" s="62" t="str">
        <f ca="1">IF(ISERROR(MATCH(E910,Код_КВР,0)),"",INDIRECT(ADDRESS(MATCH(E910,Код_КВР,0)+1,2,,,"КВР")))</f>
        <v>Иные закупки товаров, работ и услуг для обеспечения муниципальных нужд</v>
      </c>
      <c r="B910" s="46" t="s">
        <v>37</v>
      </c>
      <c r="C910" s="8" t="s">
        <v>229</v>
      </c>
      <c r="D910" s="8" t="s">
        <v>221</v>
      </c>
      <c r="E910" s="115">
        <v>240</v>
      </c>
      <c r="F910" s="7">
        <f t="shared" si="204"/>
        <v>1500</v>
      </c>
      <c r="G910" s="7">
        <f t="shared" si="204"/>
        <v>0</v>
      </c>
      <c r="H910" s="36">
        <f t="shared" si="202"/>
        <v>1500</v>
      </c>
      <c r="I910" s="7">
        <f t="shared" si="204"/>
        <v>0</v>
      </c>
      <c r="J910" s="36">
        <f t="shared" si="200"/>
        <v>1500</v>
      </c>
      <c r="K910" s="7">
        <f t="shared" si="204"/>
        <v>-270.4</v>
      </c>
      <c r="L910" s="36">
        <f t="shared" si="195"/>
        <v>1229.6</v>
      </c>
      <c r="M910" s="7">
        <f t="shared" si="204"/>
        <v>0</v>
      </c>
      <c r="N910" s="36">
        <f t="shared" si="196"/>
        <v>1229.6</v>
      </c>
      <c r="O910" s="7">
        <f t="shared" si="204"/>
        <v>0</v>
      </c>
      <c r="P910" s="36">
        <f t="shared" si="193"/>
        <v>1229.6</v>
      </c>
      <c r="Q910" s="7">
        <f t="shared" si="204"/>
        <v>-336.9</v>
      </c>
      <c r="R910" s="36">
        <f t="shared" si="194"/>
        <v>892.6999999999999</v>
      </c>
    </row>
    <row r="911" spans="1:18" ht="33">
      <c r="A911" s="62" t="str">
        <f ca="1">IF(ISERROR(MATCH(E911,Код_КВР,0)),"",INDIRECT(ADDRESS(MATCH(E911,Код_КВР,0)+1,2,,,"КВР")))</f>
        <v xml:space="preserve">Прочая закупка товаров, работ и услуг для обеспечения муниципальных нужд         </v>
      </c>
      <c r="B911" s="46" t="s">
        <v>37</v>
      </c>
      <c r="C911" s="8" t="s">
        <v>229</v>
      </c>
      <c r="D911" s="8" t="s">
        <v>221</v>
      </c>
      <c r="E911" s="115">
        <v>244</v>
      </c>
      <c r="F911" s="7">
        <f>'прил.5'!G477</f>
        <v>1500</v>
      </c>
      <c r="G911" s="7">
        <f>'прил.5'!H477</f>
        <v>0</v>
      </c>
      <c r="H911" s="36">
        <f t="shared" si="202"/>
        <v>1500</v>
      </c>
      <c r="I911" s="7">
        <f>'прил.5'!J477</f>
        <v>0</v>
      </c>
      <c r="J911" s="36">
        <f t="shared" si="200"/>
        <v>1500</v>
      </c>
      <c r="K911" s="7">
        <f>'прил.5'!L477</f>
        <v>-270.4</v>
      </c>
      <c r="L911" s="36">
        <f t="shared" si="195"/>
        <v>1229.6</v>
      </c>
      <c r="M911" s="7">
        <f>'прил.5'!N477</f>
        <v>0</v>
      </c>
      <c r="N911" s="36">
        <f t="shared" si="196"/>
        <v>1229.6</v>
      </c>
      <c r="O911" s="7">
        <f>'прил.5'!P477</f>
        <v>0</v>
      </c>
      <c r="P911" s="36">
        <f t="shared" si="193"/>
        <v>1229.6</v>
      </c>
      <c r="Q911" s="7">
        <f>'прил.5'!R477</f>
        <v>-336.9</v>
      </c>
      <c r="R911" s="36">
        <f aca="true" t="shared" si="205" ref="R911:R974">P911+Q911</f>
        <v>892.6999999999999</v>
      </c>
    </row>
    <row r="912" spans="1:18" ht="35.25" customHeight="1">
      <c r="A912" s="62" t="str">
        <f ca="1">IF(ISERROR(MATCH(B912,Код_КЦСР,0)),"",INDIRECT(ADDRESS(MATCH(B912,Код_КЦСР,0)+1,2,,,"КЦСР")))</f>
        <v>Муниципальная программа «Развитие городского общественного транспорта» на 2014-2016 годы</v>
      </c>
      <c r="B912" s="46" t="s">
        <v>39</v>
      </c>
      <c r="C912" s="8"/>
      <c r="D912" s="1"/>
      <c r="E912" s="115"/>
      <c r="F912" s="7">
        <f aca="true" t="shared" si="206" ref="F912:Q917">F913</f>
        <v>18724.9</v>
      </c>
      <c r="G912" s="7">
        <f t="shared" si="206"/>
        <v>0</v>
      </c>
      <c r="H912" s="36">
        <f t="shared" si="202"/>
        <v>18724.9</v>
      </c>
      <c r="I912" s="7">
        <f t="shared" si="206"/>
        <v>0</v>
      </c>
      <c r="J912" s="36">
        <f t="shared" si="200"/>
        <v>18724.9</v>
      </c>
      <c r="K912" s="7">
        <f t="shared" si="206"/>
        <v>0</v>
      </c>
      <c r="L912" s="36">
        <f t="shared" si="195"/>
        <v>18724.9</v>
      </c>
      <c r="M912" s="7">
        <f t="shared" si="206"/>
        <v>0</v>
      </c>
      <c r="N912" s="36">
        <f t="shared" si="196"/>
        <v>18724.9</v>
      </c>
      <c r="O912" s="7">
        <f>O913+O919</f>
        <v>12800</v>
      </c>
      <c r="P912" s="36">
        <f t="shared" si="193"/>
        <v>31524.9</v>
      </c>
      <c r="Q912" s="7">
        <f>Q913+Q919</f>
        <v>0</v>
      </c>
      <c r="R912" s="36">
        <f t="shared" si="205"/>
        <v>31524.9</v>
      </c>
    </row>
    <row r="913" spans="1:18" ht="12.75">
      <c r="A913" s="62" t="str">
        <f ca="1">IF(ISERROR(MATCH(B913,Код_КЦСР,0)),"",INDIRECT(ADDRESS(MATCH(B913,Код_КЦСР,0)+1,2,,,"КЦСР")))</f>
        <v>Приобретение автобусов в муниципальную собственность</v>
      </c>
      <c r="B913" s="46" t="s">
        <v>41</v>
      </c>
      <c r="C913" s="8"/>
      <c r="D913" s="1"/>
      <c r="E913" s="115"/>
      <c r="F913" s="7">
        <f t="shared" si="206"/>
        <v>18724.9</v>
      </c>
      <c r="G913" s="7">
        <f t="shared" si="206"/>
        <v>0</v>
      </c>
      <c r="H913" s="36">
        <f t="shared" si="202"/>
        <v>18724.9</v>
      </c>
      <c r="I913" s="7">
        <f t="shared" si="206"/>
        <v>0</v>
      </c>
      <c r="J913" s="36">
        <f t="shared" si="200"/>
        <v>18724.9</v>
      </c>
      <c r="K913" s="7">
        <f t="shared" si="206"/>
        <v>0</v>
      </c>
      <c r="L913" s="36">
        <f t="shared" si="195"/>
        <v>18724.9</v>
      </c>
      <c r="M913" s="7">
        <f t="shared" si="206"/>
        <v>0</v>
      </c>
      <c r="N913" s="36">
        <f t="shared" si="196"/>
        <v>18724.9</v>
      </c>
      <c r="O913" s="7">
        <f t="shared" si="206"/>
        <v>0</v>
      </c>
      <c r="P913" s="36">
        <f t="shared" si="193"/>
        <v>18724.9</v>
      </c>
      <c r="Q913" s="7">
        <f t="shared" si="206"/>
        <v>0</v>
      </c>
      <c r="R913" s="36">
        <f t="shared" si="205"/>
        <v>18724.9</v>
      </c>
    </row>
    <row r="914" spans="1:18" ht="12.75">
      <c r="A914" s="62" t="str">
        <f ca="1">IF(ISERROR(MATCH(C914,Код_Раздел,0)),"",INDIRECT(ADDRESS(MATCH(C914,Код_Раздел,0)+1,2,,,"Раздел")))</f>
        <v>Национальная экономика</v>
      </c>
      <c r="B914" s="46" t="s">
        <v>41</v>
      </c>
      <c r="C914" s="8" t="s">
        <v>224</v>
      </c>
      <c r="D914" s="1"/>
      <c r="E914" s="115"/>
      <c r="F914" s="7">
        <f t="shared" si="206"/>
        <v>18724.9</v>
      </c>
      <c r="G914" s="7">
        <f t="shared" si="206"/>
        <v>0</v>
      </c>
      <c r="H914" s="36">
        <f t="shared" si="202"/>
        <v>18724.9</v>
      </c>
      <c r="I914" s="7">
        <f t="shared" si="206"/>
        <v>0</v>
      </c>
      <c r="J914" s="36">
        <f t="shared" si="200"/>
        <v>18724.9</v>
      </c>
      <c r="K914" s="7">
        <f t="shared" si="206"/>
        <v>0</v>
      </c>
      <c r="L914" s="36">
        <f t="shared" si="195"/>
        <v>18724.9</v>
      </c>
      <c r="M914" s="7">
        <f t="shared" si="206"/>
        <v>0</v>
      </c>
      <c r="N914" s="36">
        <f t="shared" si="196"/>
        <v>18724.9</v>
      </c>
      <c r="O914" s="7">
        <f t="shared" si="206"/>
        <v>0</v>
      </c>
      <c r="P914" s="36">
        <f aca="true" t="shared" si="207" ref="P914:P982">N914+O914</f>
        <v>18724.9</v>
      </c>
      <c r="Q914" s="7">
        <f t="shared" si="206"/>
        <v>0</v>
      </c>
      <c r="R914" s="36">
        <f t="shared" si="205"/>
        <v>18724.9</v>
      </c>
    </row>
    <row r="915" spans="1:18" ht="12.75">
      <c r="A915" s="79" t="s">
        <v>369</v>
      </c>
      <c r="B915" s="46" t="s">
        <v>41</v>
      </c>
      <c r="C915" s="8" t="s">
        <v>224</v>
      </c>
      <c r="D915" s="8" t="s">
        <v>230</v>
      </c>
      <c r="E915" s="115"/>
      <c r="F915" s="7">
        <f t="shared" si="206"/>
        <v>18724.9</v>
      </c>
      <c r="G915" s="7">
        <f t="shared" si="206"/>
        <v>0</v>
      </c>
      <c r="H915" s="36">
        <f t="shared" si="202"/>
        <v>18724.9</v>
      </c>
      <c r="I915" s="7">
        <f t="shared" si="206"/>
        <v>0</v>
      </c>
      <c r="J915" s="36">
        <f t="shared" si="200"/>
        <v>18724.9</v>
      </c>
      <c r="K915" s="7">
        <f t="shared" si="206"/>
        <v>0</v>
      </c>
      <c r="L915" s="36">
        <f t="shared" si="195"/>
        <v>18724.9</v>
      </c>
      <c r="M915" s="7">
        <f t="shared" si="206"/>
        <v>0</v>
      </c>
      <c r="N915" s="36">
        <f t="shared" si="196"/>
        <v>18724.9</v>
      </c>
      <c r="O915" s="7">
        <f t="shared" si="206"/>
        <v>0</v>
      </c>
      <c r="P915" s="36">
        <f t="shared" si="207"/>
        <v>18724.9</v>
      </c>
      <c r="Q915" s="7">
        <f t="shared" si="206"/>
        <v>0</v>
      </c>
      <c r="R915" s="36">
        <f t="shared" si="205"/>
        <v>18724.9</v>
      </c>
    </row>
    <row r="916" spans="1:18" ht="12.75">
      <c r="A916" s="62" t="str">
        <f ca="1">IF(ISERROR(MATCH(E916,Код_КВР,0)),"",INDIRECT(ADDRESS(MATCH(E916,Код_КВР,0)+1,2,,,"КВР")))</f>
        <v>Закупка товаров, работ и услуг для муниципальных нужд</v>
      </c>
      <c r="B916" s="46" t="s">
        <v>41</v>
      </c>
      <c r="C916" s="8" t="s">
        <v>224</v>
      </c>
      <c r="D916" s="8" t="s">
        <v>230</v>
      </c>
      <c r="E916" s="115">
        <v>200</v>
      </c>
      <c r="F916" s="7">
        <f t="shared" si="206"/>
        <v>18724.9</v>
      </c>
      <c r="G916" s="7">
        <f t="shared" si="206"/>
        <v>0</v>
      </c>
      <c r="H916" s="36">
        <f t="shared" si="202"/>
        <v>18724.9</v>
      </c>
      <c r="I916" s="7">
        <f t="shared" si="206"/>
        <v>0</v>
      </c>
      <c r="J916" s="36">
        <f t="shared" si="200"/>
        <v>18724.9</v>
      </c>
      <c r="K916" s="7">
        <f t="shared" si="206"/>
        <v>0</v>
      </c>
      <c r="L916" s="36">
        <f t="shared" si="195"/>
        <v>18724.9</v>
      </c>
      <c r="M916" s="7">
        <f t="shared" si="206"/>
        <v>0</v>
      </c>
      <c r="N916" s="36">
        <f t="shared" si="196"/>
        <v>18724.9</v>
      </c>
      <c r="O916" s="7">
        <f t="shared" si="206"/>
        <v>0</v>
      </c>
      <c r="P916" s="36">
        <f t="shared" si="207"/>
        <v>18724.9</v>
      </c>
      <c r="Q916" s="7">
        <f t="shared" si="206"/>
        <v>0</v>
      </c>
      <c r="R916" s="36">
        <f t="shared" si="205"/>
        <v>18724.9</v>
      </c>
    </row>
    <row r="917" spans="1:18" ht="33">
      <c r="A917" s="62" t="str">
        <f ca="1">IF(ISERROR(MATCH(E917,Код_КВР,0)),"",INDIRECT(ADDRESS(MATCH(E917,Код_КВР,0)+1,2,,,"КВР")))</f>
        <v>Иные закупки товаров, работ и услуг для обеспечения муниципальных нужд</v>
      </c>
      <c r="B917" s="46" t="s">
        <v>41</v>
      </c>
      <c r="C917" s="8" t="s">
        <v>224</v>
      </c>
      <c r="D917" s="8" t="s">
        <v>230</v>
      </c>
      <c r="E917" s="115">
        <v>240</v>
      </c>
      <c r="F917" s="7">
        <f t="shared" si="206"/>
        <v>18724.9</v>
      </c>
      <c r="G917" s="7">
        <f t="shared" si="206"/>
        <v>0</v>
      </c>
      <c r="H917" s="36">
        <f t="shared" si="202"/>
        <v>18724.9</v>
      </c>
      <c r="I917" s="7">
        <f t="shared" si="206"/>
        <v>0</v>
      </c>
      <c r="J917" s="36">
        <f t="shared" si="200"/>
        <v>18724.9</v>
      </c>
      <c r="K917" s="7">
        <f t="shared" si="206"/>
        <v>0</v>
      </c>
      <c r="L917" s="36">
        <f t="shared" si="195"/>
        <v>18724.9</v>
      </c>
      <c r="M917" s="7">
        <f t="shared" si="206"/>
        <v>0</v>
      </c>
      <c r="N917" s="36">
        <f t="shared" si="196"/>
        <v>18724.9</v>
      </c>
      <c r="O917" s="7">
        <f t="shared" si="206"/>
        <v>0</v>
      </c>
      <c r="P917" s="36">
        <f t="shared" si="207"/>
        <v>18724.9</v>
      </c>
      <c r="Q917" s="7">
        <f t="shared" si="206"/>
        <v>0</v>
      </c>
      <c r="R917" s="36">
        <f t="shared" si="205"/>
        <v>18724.9</v>
      </c>
    </row>
    <row r="918" spans="1:18" ht="33">
      <c r="A918" s="62" t="str">
        <f ca="1">IF(ISERROR(MATCH(E918,Код_КВР,0)),"",INDIRECT(ADDRESS(MATCH(E918,Код_КВР,0)+1,2,,,"КВР")))</f>
        <v xml:space="preserve">Прочая закупка товаров, работ и услуг для обеспечения муниципальных нужд         </v>
      </c>
      <c r="B918" s="46" t="s">
        <v>41</v>
      </c>
      <c r="C918" s="8" t="s">
        <v>224</v>
      </c>
      <c r="D918" s="8" t="s">
        <v>230</v>
      </c>
      <c r="E918" s="115">
        <v>244</v>
      </c>
      <c r="F918" s="7">
        <f>'прил.5'!G1405</f>
        <v>18724.9</v>
      </c>
      <c r="G918" s="7">
        <f>'прил.5'!H1405</f>
        <v>0</v>
      </c>
      <c r="H918" s="36">
        <f t="shared" si="202"/>
        <v>18724.9</v>
      </c>
      <c r="I918" s="7">
        <f>'прил.5'!J1405</f>
        <v>0</v>
      </c>
      <c r="J918" s="36">
        <f t="shared" si="200"/>
        <v>18724.9</v>
      </c>
      <c r="K918" s="7">
        <f>'прил.5'!L1405</f>
        <v>0</v>
      </c>
      <c r="L918" s="36">
        <f t="shared" si="195"/>
        <v>18724.9</v>
      </c>
      <c r="M918" s="7">
        <f>'прил.5'!N1405</f>
        <v>0</v>
      </c>
      <c r="N918" s="36">
        <f t="shared" si="196"/>
        <v>18724.9</v>
      </c>
      <c r="O918" s="7">
        <f>'прил.5'!P1405</f>
        <v>0</v>
      </c>
      <c r="P918" s="36">
        <f t="shared" si="207"/>
        <v>18724.9</v>
      </c>
      <c r="Q918" s="7">
        <f>'прил.5'!R1405</f>
        <v>0</v>
      </c>
      <c r="R918" s="36">
        <f t="shared" si="205"/>
        <v>18724.9</v>
      </c>
    </row>
    <row r="919" spans="1:18" ht="72.75" customHeight="1">
      <c r="A919" s="62" t="str">
        <f ca="1">IF(ISERROR(MATCH(B919,Код_КЦСР,0)),"",INDIRECT(ADDRESS(MATCH(B919,Код_КЦСР,0)+1,2,,,"КЦСР")))</f>
        <v>Субсидии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v>
      </c>
      <c r="B919" s="46" t="s">
        <v>646</v>
      </c>
      <c r="C919" s="8"/>
      <c r="D919" s="1"/>
      <c r="E919" s="115"/>
      <c r="F919" s="7"/>
      <c r="G919" s="7"/>
      <c r="H919" s="36"/>
      <c r="I919" s="7"/>
      <c r="J919" s="36"/>
      <c r="K919" s="7"/>
      <c r="L919" s="36"/>
      <c r="M919" s="7"/>
      <c r="N919" s="36"/>
      <c r="O919" s="7">
        <f>O920</f>
        <v>12800</v>
      </c>
      <c r="P919" s="36">
        <f t="shared" si="207"/>
        <v>12800</v>
      </c>
      <c r="Q919" s="7">
        <f>Q920</f>
        <v>0</v>
      </c>
      <c r="R919" s="36">
        <f t="shared" si="205"/>
        <v>12800</v>
      </c>
    </row>
    <row r="920" spans="1:18" ht="12.75">
      <c r="A920" s="62" t="str">
        <f ca="1">IF(ISERROR(MATCH(C920,Код_Раздел,0)),"",INDIRECT(ADDRESS(MATCH(C920,Код_Раздел,0)+1,2,,,"Раздел")))</f>
        <v>Национальная экономика</v>
      </c>
      <c r="B920" s="46" t="s">
        <v>646</v>
      </c>
      <c r="C920" s="8" t="s">
        <v>224</v>
      </c>
      <c r="D920" s="1"/>
      <c r="E920" s="115"/>
      <c r="F920" s="7"/>
      <c r="G920" s="7"/>
      <c r="H920" s="36"/>
      <c r="I920" s="7"/>
      <c r="J920" s="36"/>
      <c r="K920" s="7"/>
      <c r="L920" s="36"/>
      <c r="M920" s="7"/>
      <c r="N920" s="36"/>
      <c r="O920" s="7">
        <f>O921</f>
        <v>12800</v>
      </c>
      <c r="P920" s="36">
        <f t="shared" si="207"/>
        <v>12800</v>
      </c>
      <c r="Q920" s="7">
        <f>Q921</f>
        <v>0</v>
      </c>
      <c r="R920" s="36">
        <f t="shared" si="205"/>
        <v>12800</v>
      </c>
    </row>
    <row r="921" spans="1:18" ht="12.75">
      <c r="A921" s="79" t="s">
        <v>369</v>
      </c>
      <c r="B921" s="46" t="s">
        <v>646</v>
      </c>
      <c r="C921" s="8" t="s">
        <v>224</v>
      </c>
      <c r="D921" s="8" t="s">
        <v>230</v>
      </c>
      <c r="E921" s="115"/>
      <c r="F921" s="7"/>
      <c r="G921" s="7"/>
      <c r="H921" s="36"/>
      <c r="I921" s="7"/>
      <c r="J921" s="36"/>
      <c r="K921" s="7"/>
      <c r="L921" s="36"/>
      <c r="M921" s="7"/>
      <c r="N921" s="36"/>
      <c r="O921" s="7">
        <f>O922</f>
        <v>12800</v>
      </c>
      <c r="P921" s="36">
        <f t="shared" si="207"/>
        <v>12800</v>
      </c>
      <c r="Q921" s="7">
        <f>Q922</f>
        <v>0</v>
      </c>
      <c r="R921" s="36">
        <f t="shared" si="205"/>
        <v>12800</v>
      </c>
    </row>
    <row r="922" spans="1:18" ht="12.75">
      <c r="A922" s="62" t="str">
        <f ca="1">IF(ISERROR(MATCH(E922,Код_КВР,0)),"",INDIRECT(ADDRESS(MATCH(E922,Код_КВР,0)+1,2,,,"КВР")))</f>
        <v>Иные бюджетные ассигнования</v>
      </c>
      <c r="B922" s="46" t="s">
        <v>646</v>
      </c>
      <c r="C922" s="8" t="s">
        <v>224</v>
      </c>
      <c r="D922" s="8" t="s">
        <v>230</v>
      </c>
      <c r="E922" s="115">
        <v>800</v>
      </c>
      <c r="F922" s="7"/>
      <c r="G922" s="7"/>
      <c r="H922" s="36"/>
      <c r="I922" s="7"/>
      <c r="J922" s="36"/>
      <c r="K922" s="7"/>
      <c r="L922" s="36"/>
      <c r="M922" s="7"/>
      <c r="N922" s="36"/>
      <c r="O922" s="7">
        <f>O923</f>
        <v>12800</v>
      </c>
      <c r="P922" s="36">
        <f t="shared" si="207"/>
        <v>12800</v>
      </c>
      <c r="Q922" s="7">
        <f>Q923</f>
        <v>0</v>
      </c>
      <c r="R922" s="36">
        <f t="shared" si="205"/>
        <v>12800</v>
      </c>
    </row>
    <row r="923" spans="1:18" ht="49.5">
      <c r="A923" s="62" t="str">
        <f ca="1">IF(ISERROR(MATCH(E923,Код_КВР,0)),"",INDIRECT(ADDRESS(MATCH(E923,Код_КВР,0)+1,2,,,"КВР")))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923" s="46" t="s">
        <v>646</v>
      </c>
      <c r="C923" s="8" t="s">
        <v>224</v>
      </c>
      <c r="D923" s="8" t="s">
        <v>230</v>
      </c>
      <c r="E923" s="115">
        <v>810</v>
      </c>
      <c r="F923" s="7"/>
      <c r="G923" s="7"/>
      <c r="H923" s="36"/>
      <c r="I923" s="7"/>
      <c r="J923" s="36"/>
      <c r="K923" s="7"/>
      <c r="L923" s="36"/>
      <c r="M923" s="7"/>
      <c r="N923" s="36"/>
      <c r="O923" s="7">
        <f>'прил.5'!P237</f>
        <v>12800</v>
      </c>
      <c r="P923" s="36">
        <f t="shared" si="207"/>
        <v>12800</v>
      </c>
      <c r="Q923" s="7">
        <f>'прил.5'!R237</f>
        <v>0</v>
      </c>
      <c r="R923" s="36">
        <f t="shared" si="205"/>
        <v>12800</v>
      </c>
    </row>
    <row r="924" spans="1:18" ht="36.75" customHeight="1">
      <c r="A924" s="62" t="str">
        <f ca="1">IF(ISERROR(MATCH(B924,Код_КЦСР,0)),"",INDIRECT(ADDRESS(MATCH(B924,Код_КЦСР,0)+1,2,,,"КЦСР")))</f>
        <v>Муниципальная программа «Реализация градостроительной политики города Череповца» на 2014-2022 годы</v>
      </c>
      <c r="B924" s="46" t="s">
        <v>43</v>
      </c>
      <c r="C924" s="8"/>
      <c r="D924" s="1"/>
      <c r="E924" s="115"/>
      <c r="F924" s="7">
        <f>F925+F931</f>
        <v>8645.8</v>
      </c>
      <c r="G924" s="7">
        <f>G925+G931</f>
        <v>0</v>
      </c>
      <c r="H924" s="36">
        <f t="shared" si="202"/>
        <v>8645.8</v>
      </c>
      <c r="I924" s="7">
        <f>I925+I931</f>
        <v>0</v>
      </c>
      <c r="J924" s="36">
        <f t="shared" si="200"/>
        <v>8645.8</v>
      </c>
      <c r="K924" s="7">
        <f>K925+K931</f>
        <v>-4085.5</v>
      </c>
      <c r="L924" s="36">
        <f t="shared" si="195"/>
        <v>4560.299999999999</v>
      </c>
      <c r="M924" s="7">
        <f>M925+M931</f>
        <v>0</v>
      </c>
      <c r="N924" s="36">
        <f t="shared" si="196"/>
        <v>4560.299999999999</v>
      </c>
      <c r="O924" s="7">
        <f>O925+O931</f>
        <v>0</v>
      </c>
      <c r="P924" s="36">
        <f t="shared" si="207"/>
        <v>4560.299999999999</v>
      </c>
      <c r="Q924" s="7">
        <f>Q925+Q931</f>
        <v>-537.5</v>
      </c>
      <c r="R924" s="36">
        <f t="shared" si="205"/>
        <v>4022.7999999999993</v>
      </c>
    </row>
    <row r="925" spans="1:18" ht="33">
      <c r="A925" s="62" t="str">
        <f ca="1">IF(ISERROR(MATCH(B925,Код_КЦСР,0)),"",INDIRECT(ADDRESS(MATCH(B925,Код_КЦСР,0)+1,2,,,"КЦСР")))</f>
        <v>Обеспечение подготовки градостроительной документации и нормативно-правовых актов</v>
      </c>
      <c r="B925" s="46" t="s">
        <v>44</v>
      </c>
      <c r="C925" s="8"/>
      <c r="D925" s="1"/>
      <c r="E925" s="115"/>
      <c r="F925" s="7">
        <f aca="true" t="shared" si="208" ref="F925:Q929">F926</f>
        <v>7401</v>
      </c>
      <c r="G925" s="7">
        <f t="shared" si="208"/>
        <v>0</v>
      </c>
      <c r="H925" s="36">
        <f t="shared" si="202"/>
        <v>7401</v>
      </c>
      <c r="I925" s="7">
        <f t="shared" si="208"/>
        <v>0</v>
      </c>
      <c r="J925" s="36">
        <f t="shared" si="200"/>
        <v>7401</v>
      </c>
      <c r="K925" s="7">
        <f t="shared" si="208"/>
        <v>-4085.5</v>
      </c>
      <c r="L925" s="36">
        <f t="shared" si="195"/>
        <v>3315.5</v>
      </c>
      <c r="M925" s="7">
        <f t="shared" si="208"/>
        <v>0</v>
      </c>
      <c r="N925" s="36">
        <f t="shared" si="196"/>
        <v>3315.5</v>
      </c>
      <c r="O925" s="7">
        <f t="shared" si="208"/>
        <v>0</v>
      </c>
      <c r="P925" s="36">
        <f t="shared" si="207"/>
        <v>3315.5</v>
      </c>
      <c r="Q925" s="7">
        <f t="shared" si="208"/>
        <v>-447.5</v>
      </c>
      <c r="R925" s="36">
        <f t="shared" si="205"/>
        <v>2868</v>
      </c>
    </row>
    <row r="926" spans="1:18" ht="12.75">
      <c r="A926" s="62" t="str">
        <f ca="1">IF(ISERROR(MATCH(C926,Код_Раздел,0)),"",INDIRECT(ADDRESS(MATCH(C926,Код_Раздел,0)+1,2,,,"Раздел")))</f>
        <v>Национальная экономика</v>
      </c>
      <c r="B926" s="46" t="s">
        <v>44</v>
      </c>
      <c r="C926" s="8" t="s">
        <v>224</v>
      </c>
      <c r="D926" s="1"/>
      <c r="E926" s="115"/>
      <c r="F926" s="7">
        <f t="shared" si="208"/>
        <v>7401</v>
      </c>
      <c r="G926" s="7">
        <f t="shared" si="208"/>
        <v>0</v>
      </c>
      <c r="H926" s="36">
        <f t="shared" si="202"/>
        <v>7401</v>
      </c>
      <c r="I926" s="7">
        <f t="shared" si="208"/>
        <v>0</v>
      </c>
      <c r="J926" s="36">
        <f t="shared" si="200"/>
        <v>7401</v>
      </c>
      <c r="K926" s="7">
        <f t="shared" si="208"/>
        <v>-4085.5</v>
      </c>
      <c r="L926" s="36">
        <f t="shared" si="195"/>
        <v>3315.5</v>
      </c>
      <c r="M926" s="7">
        <f t="shared" si="208"/>
        <v>0</v>
      </c>
      <c r="N926" s="36">
        <f t="shared" si="196"/>
        <v>3315.5</v>
      </c>
      <c r="O926" s="7">
        <f t="shared" si="208"/>
        <v>0</v>
      </c>
      <c r="P926" s="36">
        <f t="shared" si="207"/>
        <v>3315.5</v>
      </c>
      <c r="Q926" s="7">
        <f t="shared" si="208"/>
        <v>-447.5</v>
      </c>
      <c r="R926" s="36">
        <f t="shared" si="205"/>
        <v>2868</v>
      </c>
    </row>
    <row r="927" spans="1:18" ht="12.75">
      <c r="A927" s="12" t="s">
        <v>245</v>
      </c>
      <c r="B927" s="46" t="s">
        <v>44</v>
      </c>
      <c r="C927" s="8" t="s">
        <v>224</v>
      </c>
      <c r="D927" s="8" t="s">
        <v>204</v>
      </c>
      <c r="E927" s="115"/>
      <c r="F927" s="7">
        <f t="shared" si="208"/>
        <v>7401</v>
      </c>
      <c r="G927" s="7">
        <f t="shared" si="208"/>
        <v>0</v>
      </c>
      <c r="H927" s="36">
        <f t="shared" si="202"/>
        <v>7401</v>
      </c>
      <c r="I927" s="7">
        <f t="shared" si="208"/>
        <v>0</v>
      </c>
      <c r="J927" s="36">
        <f t="shared" si="200"/>
        <v>7401</v>
      </c>
      <c r="K927" s="7">
        <f t="shared" si="208"/>
        <v>-4085.5</v>
      </c>
      <c r="L927" s="36">
        <f t="shared" si="195"/>
        <v>3315.5</v>
      </c>
      <c r="M927" s="7">
        <f t="shared" si="208"/>
        <v>0</v>
      </c>
      <c r="N927" s="36">
        <f t="shared" si="196"/>
        <v>3315.5</v>
      </c>
      <c r="O927" s="7">
        <f t="shared" si="208"/>
        <v>0</v>
      </c>
      <c r="P927" s="36">
        <f t="shared" si="207"/>
        <v>3315.5</v>
      </c>
      <c r="Q927" s="7">
        <f t="shared" si="208"/>
        <v>-447.5</v>
      </c>
      <c r="R927" s="36">
        <f t="shared" si="205"/>
        <v>2868</v>
      </c>
    </row>
    <row r="928" spans="1:18" ht="12.75">
      <c r="A928" s="62" t="str">
        <f ca="1">IF(ISERROR(MATCH(E928,Код_КВР,0)),"",INDIRECT(ADDRESS(MATCH(E928,Код_КВР,0)+1,2,,,"КВР")))</f>
        <v>Закупка товаров, работ и услуг для муниципальных нужд</v>
      </c>
      <c r="B928" s="46" t="s">
        <v>44</v>
      </c>
      <c r="C928" s="8" t="s">
        <v>224</v>
      </c>
      <c r="D928" s="8" t="s">
        <v>204</v>
      </c>
      <c r="E928" s="115">
        <v>200</v>
      </c>
      <c r="F928" s="7">
        <f t="shared" si="208"/>
        <v>7401</v>
      </c>
      <c r="G928" s="7">
        <f t="shared" si="208"/>
        <v>0</v>
      </c>
      <c r="H928" s="36">
        <f t="shared" si="202"/>
        <v>7401</v>
      </c>
      <c r="I928" s="7">
        <f t="shared" si="208"/>
        <v>0</v>
      </c>
      <c r="J928" s="36">
        <f t="shared" si="200"/>
        <v>7401</v>
      </c>
      <c r="K928" s="7">
        <f t="shared" si="208"/>
        <v>-4085.5</v>
      </c>
      <c r="L928" s="36">
        <f t="shared" si="195"/>
        <v>3315.5</v>
      </c>
      <c r="M928" s="7">
        <f t="shared" si="208"/>
        <v>0</v>
      </c>
      <c r="N928" s="36">
        <f t="shared" si="196"/>
        <v>3315.5</v>
      </c>
      <c r="O928" s="7">
        <f t="shared" si="208"/>
        <v>0</v>
      </c>
      <c r="P928" s="36">
        <f t="shared" si="207"/>
        <v>3315.5</v>
      </c>
      <c r="Q928" s="7">
        <f t="shared" si="208"/>
        <v>-447.5</v>
      </c>
      <c r="R928" s="36">
        <f t="shared" si="205"/>
        <v>2868</v>
      </c>
    </row>
    <row r="929" spans="1:18" ht="33">
      <c r="A929" s="62" t="str">
        <f ca="1">IF(ISERROR(MATCH(E929,Код_КВР,0)),"",INDIRECT(ADDRESS(MATCH(E929,Код_КВР,0)+1,2,,,"КВР")))</f>
        <v>Иные закупки товаров, работ и услуг для обеспечения муниципальных нужд</v>
      </c>
      <c r="B929" s="46" t="s">
        <v>44</v>
      </c>
      <c r="C929" s="8" t="s">
        <v>224</v>
      </c>
      <c r="D929" s="8" t="s">
        <v>204</v>
      </c>
      <c r="E929" s="115">
        <v>240</v>
      </c>
      <c r="F929" s="7">
        <f t="shared" si="208"/>
        <v>7401</v>
      </c>
      <c r="G929" s="7">
        <f t="shared" si="208"/>
        <v>0</v>
      </c>
      <c r="H929" s="36">
        <f t="shared" si="202"/>
        <v>7401</v>
      </c>
      <c r="I929" s="7">
        <f t="shared" si="208"/>
        <v>0</v>
      </c>
      <c r="J929" s="36">
        <f t="shared" si="200"/>
        <v>7401</v>
      </c>
      <c r="K929" s="7">
        <f t="shared" si="208"/>
        <v>-4085.5</v>
      </c>
      <c r="L929" s="36">
        <f t="shared" si="195"/>
        <v>3315.5</v>
      </c>
      <c r="M929" s="7">
        <f t="shared" si="208"/>
        <v>0</v>
      </c>
      <c r="N929" s="36">
        <f t="shared" si="196"/>
        <v>3315.5</v>
      </c>
      <c r="O929" s="7">
        <f t="shared" si="208"/>
        <v>0</v>
      </c>
      <c r="P929" s="36">
        <f t="shared" si="207"/>
        <v>3315.5</v>
      </c>
      <c r="Q929" s="7">
        <f t="shared" si="208"/>
        <v>-447.5</v>
      </c>
      <c r="R929" s="36">
        <f t="shared" si="205"/>
        <v>2868</v>
      </c>
    </row>
    <row r="930" spans="1:18" ht="33">
      <c r="A930" s="62" t="str">
        <f ca="1">IF(ISERROR(MATCH(E930,Код_КВР,0)),"",INDIRECT(ADDRESS(MATCH(E930,Код_КВР,0)+1,2,,,"КВР")))</f>
        <v xml:space="preserve">Прочая закупка товаров, работ и услуг для обеспечения муниципальных нужд         </v>
      </c>
      <c r="B930" s="46" t="s">
        <v>44</v>
      </c>
      <c r="C930" s="8" t="s">
        <v>224</v>
      </c>
      <c r="D930" s="8" t="s">
        <v>204</v>
      </c>
      <c r="E930" s="115">
        <v>244</v>
      </c>
      <c r="F930" s="7">
        <f>'прил.5'!G547</f>
        <v>7401</v>
      </c>
      <c r="G930" s="7">
        <f>'прил.5'!H547</f>
        <v>0</v>
      </c>
      <c r="H930" s="36">
        <f t="shared" si="202"/>
        <v>7401</v>
      </c>
      <c r="I930" s="7">
        <f>'прил.5'!J547</f>
        <v>0</v>
      </c>
      <c r="J930" s="36">
        <f t="shared" si="200"/>
        <v>7401</v>
      </c>
      <c r="K930" s="7">
        <f>'прил.5'!L547</f>
        <v>-4085.5</v>
      </c>
      <c r="L930" s="36">
        <f t="shared" si="195"/>
        <v>3315.5</v>
      </c>
      <c r="M930" s="7">
        <f>'прил.5'!N547</f>
        <v>0</v>
      </c>
      <c r="N930" s="36">
        <f t="shared" si="196"/>
        <v>3315.5</v>
      </c>
      <c r="O930" s="7">
        <f>'прил.5'!P547</f>
        <v>0</v>
      </c>
      <c r="P930" s="36">
        <f t="shared" si="207"/>
        <v>3315.5</v>
      </c>
      <c r="Q930" s="7">
        <f>'прил.5'!R547</f>
        <v>-447.5</v>
      </c>
      <c r="R930" s="36">
        <f t="shared" si="205"/>
        <v>2868</v>
      </c>
    </row>
    <row r="931" spans="1:18" ht="33">
      <c r="A931" s="62" t="str">
        <f ca="1">IF(ISERROR(MATCH(B931,Код_КЦСР,0)),"",INDIRECT(ADDRESS(MATCH(B931,Код_КЦСР,0)+1,2,,,"КЦСР")))</f>
        <v>Создание условий для формирования комфортной городской среды</v>
      </c>
      <c r="B931" s="46" t="s">
        <v>46</v>
      </c>
      <c r="C931" s="8"/>
      <c r="D931" s="1"/>
      <c r="E931" s="115"/>
      <c r="F931" s="7">
        <f aca="true" t="shared" si="209" ref="F931:Q935">F932</f>
        <v>1244.8</v>
      </c>
      <c r="G931" s="7">
        <f t="shared" si="209"/>
        <v>0</v>
      </c>
      <c r="H931" s="36">
        <f t="shared" si="202"/>
        <v>1244.8</v>
      </c>
      <c r="I931" s="7">
        <f t="shared" si="209"/>
        <v>0</v>
      </c>
      <c r="J931" s="36">
        <f t="shared" si="200"/>
        <v>1244.8</v>
      </c>
      <c r="K931" s="7">
        <f t="shared" si="209"/>
        <v>0</v>
      </c>
      <c r="L931" s="36">
        <f t="shared" si="195"/>
        <v>1244.8</v>
      </c>
      <c r="M931" s="7">
        <f t="shared" si="209"/>
        <v>0</v>
      </c>
      <c r="N931" s="36">
        <f t="shared" si="196"/>
        <v>1244.8</v>
      </c>
      <c r="O931" s="7">
        <f t="shared" si="209"/>
        <v>0</v>
      </c>
      <c r="P931" s="36">
        <f t="shared" si="207"/>
        <v>1244.8</v>
      </c>
      <c r="Q931" s="7">
        <f t="shared" si="209"/>
        <v>-90</v>
      </c>
      <c r="R931" s="36">
        <f t="shared" si="205"/>
        <v>1154.8</v>
      </c>
    </row>
    <row r="932" spans="1:18" ht="12.75">
      <c r="A932" s="62" t="str">
        <f ca="1">IF(ISERROR(MATCH(C932,Код_Раздел,0)),"",INDIRECT(ADDRESS(MATCH(C932,Код_Раздел,0)+1,2,,,"Раздел")))</f>
        <v>Национальная экономика</v>
      </c>
      <c r="B932" s="46" t="s">
        <v>46</v>
      </c>
      <c r="C932" s="8" t="s">
        <v>224</v>
      </c>
      <c r="D932" s="1"/>
      <c r="E932" s="115"/>
      <c r="F932" s="7">
        <f t="shared" si="209"/>
        <v>1244.8</v>
      </c>
      <c r="G932" s="7">
        <f t="shared" si="209"/>
        <v>0</v>
      </c>
      <c r="H932" s="36">
        <f t="shared" si="202"/>
        <v>1244.8</v>
      </c>
      <c r="I932" s="7">
        <f t="shared" si="209"/>
        <v>0</v>
      </c>
      <c r="J932" s="36">
        <f t="shared" si="200"/>
        <v>1244.8</v>
      </c>
      <c r="K932" s="7">
        <f t="shared" si="209"/>
        <v>0</v>
      </c>
      <c r="L932" s="36">
        <f t="shared" si="195"/>
        <v>1244.8</v>
      </c>
      <c r="M932" s="7">
        <f t="shared" si="209"/>
        <v>0</v>
      </c>
      <c r="N932" s="36">
        <f t="shared" si="196"/>
        <v>1244.8</v>
      </c>
      <c r="O932" s="7">
        <f t="shared" si="209"/>
        <v>0</v>
      </c>
      <c r="P932" s="36">
        <f t="shared" si="207"/>
        <v>1244.8</v>
      </c>
      <c r="Q932" s="7">
        <f t="shared" si="209"/>
        <v>-90</v>
      </c>
      <c r="R932" s="36">
        <f t="shared" si="205"/>
        <v>1154.8</v>
      </c>
    </row>
    <row r="933" spans="1:18" ht="12.75">
      <c r="A933" s="12" t="s">
        <v>245</v>
      </c>
      <c r="B933" s="46" t="s">
        <v>46</v>
      </c>
      <c r="C933" s="8" t="s">
        <v>224</v>
      </c>
      <c r="D933" s="8" t="s">
        <v>204</v>
      </c>
      <c r="E933" s="115"/>
      <c r="F933" s="7">
        <f t="shared" si="209"/>
        <v>1244.8</v>
      </c>
      <c r="G933" s="7">
        <f t="shared" si="209"/>
        <v>0</v>
      </c>
      <c r="H933" s="36">
        <f t="shared" si="202"/>
        <v>1244.8</v>
      </c>
      <c r="I933" s="7">
        <f t="shared" si="209"/>
        <v>0</v>
      </c>
      <c r="J933" s="36">
        <f t="shared" si="200"/>
        <v>1244.8</v>
      </c>
      <c r="K933" s="7">
        <f t="shared" si="209"/>
        <v>0</v>
      </c>
      <c r="L933" s="36">
        <f t="shared" si="195"/>
        <v>1244.8</v>
      </c>
      <c r="M933" s="7">
        <f t="shared" si="209"/>
        <v>0</v>
      </c>
      <c r="N933" s="36">
        <f t="shared" si="196"/>
        <v>1244.8</v>
      </c>
      <c r="O933" s="7">
        <f t="shared" si="209"/>
        <v>0</v>
      </c>
      <c r="P933" s="36">
        <f t="shared" si="207"/>
        <v>1244.8</v>
      </c>
      <c r="Q933" s="7">
        <f t="shared" si="209"/>
        <v>-90</v>
      </c>
      <c r="R933" s="36">
        <f t="shared" si="205"/>
        <v>1154.8</v>
      </c>
    </row>
    <row r="934" spans="1:18" ht="12.75">
      <c r="A934" s="62" t="str">
        <f ca="1">IF(ISERROR(MATCH(E934,Код_КВР,0)),"",INDIRECT(ADDRESS(MATCH(E934,Код_КВР,0)+1,2,,,"КВР")))</f>
        <v>Закупка товаров, работ и услуг для муниципальных нужд</v>
      </c>
      <c r="B934" s="46" t="s">
        <v>46</v>
      </c>
      <c r="C934" s="8" t="s">
        <v>224</v>
      </c>
      <c r="D934" s="8" t="s">
        <v>204</v>
      </c>
      <c r="E934" s="115">
        <v>200</v>
      </c>
      <c r="F934" s="7">
        <f t="shared" si="209"/>
        <v>1244.8</v>
      </c>
      <c r="G934" s="7">
        <f t="shared" si="209"/>
        <v>0</v>
      </c>
      <c r="H934" s="36">
        <f t="shared" si="202"/>
        <v>1244.8</v>
      </c>
      <c r="I934" s="7">
        <f t="shared" si="209"/>
        <v>0</v>
      </c>
      <c r="J934" s="36">
        <f t="shared" si="200"/>
        <v>1244.8</v>
      </c>
      <c r="K934" s="7">
        <f t="shared" si="209"/>
        <v>0</v>
      </c>
      <c r="L934" s="36">
        <f aca="true" t="shared" si="210" ref="L934:L1003">J934+K934</f>
        <v>1244.8</v>
      </c>
      <c r="M934" s="7">
        <f t="shared" si="209"/>
        <v>0</v>
      </c>
      <c r="N934" s="36">
        <f aca="true" t="shared" si="211" ref="N934:N1003">L934+M934</f>
        <v>1244.8</v>
      </c>
      <c r="O934" s="7">
        <f t="shared" si="209"/>
        <v>0</v>
      </c>
      <c r="P934" s="36">
        <f t="shared" si="207"/>
        <v>1244.8</v>
      </c>
      <c r="Q934" s="7">
        <f t="shared" si="209"/>
        <v>-90</v>
      </c>
      <c r="R934" s="36">
        <f t="shared" si="205"/>
        <v>1154.8</v>
      </c>
    </row>
    <row r="935" spans="1:18" ht="33">
      <c r="A935" s="62" t="str">
        <f ca="1">IF(ISERROR(MATCH(E935,Код_КВР,0)),"",INDIRECT(ADDRESS(MATCH(E935,Код_КВР,0)+1,2,,,"КВР")))</f>
        <v>Иные закупки товаров, работ и услуг для обеспечения муниципальных нужд</v>
      </c>
      <c r="B935" s="46" t="s">
        <v>46</v>
      </c>
      <c r="C935" s="8" t="s">
        <v>224</v>
      </c>
      <c r="D935" s="8" t="s">
        <v>204</v>
      </c>
      <c r="E935" s="115">
        <v>240</v>
      </c>
      <c r="F935" s="7">
        <f t="shared" si="209"/>
        <v>1244.8</v>
      </c>
      <c r="G935" s="7">
        <f t="shared" si="209"/>
        <v>0</v>
      </c>
      <c r="H935" s="36">
        <f t="shared" si="202"/>
        <v>1244.8</v>
      </c>
      <c r="I935" s="7">
        <f t="shared" si="209"/>
        <v>0</v>
      </c>
      <c r="J935" s="36">
        <f t="shared" si="200"/>
        <v>1244.8</v>
      </c>
      <c r="K935" s="7">
        <f t="shared" si="209"/>
        <v>0</v>
      </c>
      <c r="L935" s="36">
        <f t="shared" si="210"/>
        <v>1244.8</v>
      </c>
      <c r="M935" s="7">
        <f t="shared" si="209"/>
        <v>0</v>
      </c>
      <c r="N935" s="36">
        <f t="shared" si="211"/>
        <v>1244.8</v>
      </c>
      <c r="O935" s="7">
        <f t="shared" si="209"/>
        <v>0</v>
      </c>
      <c r="P935" s="36">
        <f t="shared" si="207"/>
        <v>1244.8</v>
      </c>
      <c r="Q935" s="7">
        <f t="shared" si="209"/>
        <v>-90</v>
      </c>
      <c r="R935" s="36">
        <f t="shared" si="205"/>
        <v>1154.8</v>
      </c>
    </row>
    <row r="936" spans="1:18" ht="33">
      <c r="A936" s="62" t="str">
        <f ca="1">IF(ISERROR(MATCH(E936,Код_КВР,0)),"",INDIRECT(ADDRESS(MATCH(E936,Код_КВР,0)+1,2,,,"КВР")))</f>
        <v xml:space="preserve">Прочая закупка товаров, работ и услуг для обеспечения муниципальных нужд         </v>
      </c>
      <c r="B936" s="46" t="s">
        <v>46</v>
      </c>
      <c r="C936" s="8" t="s">
        <v>224</v>
      </c>
      <c r="D936" s="8" t="s">
        <v>204</v>
      </c>
      <c r="E936" s="115">
        <v>244</v>
      </c>
      <c r="F936" s="7">
        <f>'прил.5'!G551</f>
        <v>1244.8</v>
      </c>
      <c r="G936" s="7">
        <f>'прил.5'!H551</f>
        <v>0</v>
      </c>
      <c r="H936" s="36">
        <f t="shared" si="202"/>
        <v>1244.8</v>
      </c>
      <c r="I936" s="7">
        <f>'прил.5'!J551</f>
        <v>0</v>
      </c>
      <c r="J936" s="36">
        <f t="shared" si="200"/>
        <v>1244.8</v>
      </c>
      <c r="K936" s="7">
        <f>'прил.5'!L551</f>
        <v>0</v>
      </c>
      <c r="L936" s="36">
        <f t="shared" si="210"/>
        <v>1244.8</v>
      </c>
      <c r="M936" s="7">
        <f>'прил.5'!N551</f>
        <v>0</v>
      </c>
      <c r="N936" s="36">
        <f t="shared" si="211"/>
        <v>1244.8</v>
      </c>
      <c r="O936" s="7">
        <f>'прил.5'!P551</f>
        <v>0</v>
      </c>
      <c r="P936" s="36">
        <f t="shared" si="207"/>
        <v>1244.8</v>
      </c>
      <c r="Q936" s="7">
        <f>'прил.5'!R551</f>
        <v>-90</v>
      </c>
      <c r="R936" s="36">
        <f t="shared" si="205"/>
        <v>1154.8</v>
      </c>
    </row>
    <row r="937" spans="1:18" ht="33">
      <c r="A937" s="62" t="str">
        <f ca="1">IF(ISERROR(MATCH(B937,Код_КЦСР,0)),"",INDIRECT(ADDRESS(MATCH(B937,Код_КЦСР,0)+1,2,,,"КЦСР")))</f>
        <v>Муниципальная программа «Развитие жилищно-коммунального хозяйства города Череповца» на 2014-2018 годы</v>
      </c>
      <c r="B937" s="46" t="s">
        <v>47</v>
      </c>
      <c r="C937" s="8"/>
      <c r="D937" s="1"/>
      <c r="E937" s="115"/>
      <c r="F937" s="7">
        <f>F938+F982</f>
        <v>726507.2000000001</v>
      </c>
      <c r="G937" s="7">
        <f>G938+G982</f>
        <v>51383.6</v>
      </c>
      <c r="H937" s="36">
        <f t="shared" si="202"/>
        <v>777890.8</v>
      </c>
      <c r="I937" s="7">
        <f>I938+I982</f>
        <v>-898.9000000000001</v>
      </c>
      <c r="J937" s="36">
        <f t="shared" si="200"/>
        <v>776991.9</v>
      </c>
      <c r="K937" s="7">
        <f>K938+K982</f>
        <v>-6324.400000000001</v>
      </c>
      <c r="L937" s="36">
        <f t="shared" si="210"/>
        <v>770667.5</v>
      </c>
      <c r="M937" s="7">
        <f>M938+M982</f>
        <v>-676.6999999999999</v>
      </c>
      <c r="N937" s="36">
        <f t="shared" si="211"/>
        <v>769990.8</v>
      </c>
      <c r="O937" s="7">
        <f>O938+O982</f>
        <v>-140.2</v>
      </c>
      <c r="P937" s="36">
        <f t="shared" si="207"/>
        <v>769850.6000000001</v>
      </c>
      <c r="Q937" s="7">
        <f>Q938+Q982</f>
        <v>549.3000000000011</v>
      </c>
      <c r="R937" s="36">
        <f t="shared" si="205"/>
        <v>770399.9000000001</v>
      </c>
    </row>
    <row r="938" spans="1:18" ht="12.75">
      <c r="A938" s="62" t="str">
        <f ca="1">IF(ISERROR(MATCH(B938,Код_КЦСР,0)),"",INDIRECT(ADDRESS(MATCH(B938,Код_КЦСР,0)+1,2,,,"КЦСР")))</f>
        <v>Развитие благоустройства города</v>
      </c>
      <c r="B938" s="46" t="s">
        <v>48</v>
      </c>
      <c r="C938" s="8"/>
      <c r="D938" s="1"/>
      <c r="E938" s="115"/>
      <c r="F938" s="7">
        <f>F939+F947+F959+F970+F976</f>
        <v>718826.4</v>
      </c>
      <c r="G938" s="7">
        <f>G939+G947+G959+G970+G976</f>
        <v>51383.6</v>
      </c>
      <c r="H938" s="36">
        <f t="shared" si="202"/>
        <v>770210</v>
      </c>
      <c r="I938" s="7">
        <f>I939+I947+I959+I970+I976</f>
        <v>-898.9000000000001</v>
      </c>
      <c r="J938" s="36">
        <f t="shared" si="200"/>
        <v>769311.1</v>
      </c>
      <c r="K938" s="7">
        <f>K939+K947+K959+K970+K976</f>
        <v>-6086.3</v>
      </c>
      <c r="L938" s="36">
        <f t="shared" si="210"/>
        <v>763224.7999999999</v>
      </c>
      <c r="M938" s="7">
        <f>M939+M947+M959+M970+M976</f>
        <v>-676.6999999999999</v>
      </c>
      <c r="N938" s="36">
        <f t="shared" si="211"/>
        <v>762548.1</v>
      </c>
      <c r="O938" s="7">
        <f>O939+O947+O959+O970+O976</f>
        <v>-140.2</v>
      </c>
      <c r="P938" s="36">
        <f t="shared" si="207"/>
        <v>762407.9</v>
      </c>
      <c r="Q938" s="7">
        <f>Q939+Q947+Q959+Q970+Q976</f>
        <v>-7789.699999999999</v>
      </c>
      <c r="R938" s="36">
        <f t="shared" si="205"/>
        <v>754618.2000000001</v>
      </c>
    </row>
    <row r="939" spans="1:18" ht="33">
      <c r="A939" s="62" t="str">
        <f ca="1">IF(ISERROR(MATCH(B939,Код_КЦСР,0)),"",INDIRECT(ADDRESS(MATCH(B939,Код_КЦСР,0)+1,2,,,"КЦСР")))</f>
        <v>Мероприятия по благоустройству и повышению внешней привлекательности города</v>
      </c>
      <c r="B939" s="46" t="s">
        <v>50</v>
      </c>
      <c r="C939" s="8"/>
      <c r="D939" s="1"/>
      <c r="E939" s="115"/>
      <c r="F939" s="7">
        <f>F940</f>
        <v>136626.2</v>
      </c>
      <c r="G939" s="7">
        <f>G940</f>
        <v>0</v>
      </c>
      <c r="H939" s="36">
        <f t="shared" si="202"/>
        <v>136626.2</v>
      </c>
      <c r="I939" s="7">
        <f>I940</f>
        <v>-898.9000000000001</v>
      </c>
      <c r="J939" s="36">
        <f t="shared" si="200"/>
        <v>135727.30000000002</v>
      </c>
      <c r="K939" s="7">
        <f>K940</f>
        <v>-2173.2</v>
      </c>
      <c r="L939" s="36">
        <f t="shared" si="210"/>
        <v>133554.1</v>
      </c>
      <c r="M939" s="7">
        <f>M940</f>
        <v>0</v>
      </c>
      <c r="N939" s="36">
        <f t="shared" si="211"/>
        <v>133554.1</v>
      </c>
      <c r="O939" s="7">
        <f>O940</f>
        <v>-140.2</v>
      </c>
      <c r="P939" s="36">
        <f t="shared" si="207"/>
        <v>133413.9</v>
      </c>
      <c r="Q939" s="7">
        <f>Q940</f>
        <v>-1759.9</v>
      </c>
      <c r="R939" s="36">
        <f t="shared" si="205"/>
        <v>131654</v>
      </c>
    </row>
    <row r="940" spans="1:18" ht="12.75">
      <c r="A940" s="62" t="str">
        <f ca="1">IF(ISERROR(MATCH(C940,Код_Раздел,0)),"",INDIRECT(ADDRESS(MATCH(C940,Код_Раздел,0)+1,2,,,"Раздел")))</f>
        <v>Жилищно-коммунальное хозяйство</v>
      </c>
      <c r="B940" s="46" t="s">
        <v>50</v>
      </c>
      <c r="C940" s="8" t="s">
        <v>229</v>
      </c>
      <c r="D940" s="1"/>
      <c r="E940" s="115"/>
      <c r="F940" s="7">
        <f>F941</f>
        <v>136626.2</v>
      </c>
      <c r="G940" s="7">
        <f>G941</f>
        <v>0</v>
      </c>
      <c r="H940" s="36">
        <f t="shared" si="202"/>
        <v>136626.2</v>
      </c>
      <c r="I940" s="7">
        <f>I941</f>
        <v>-898.9000000000001</v>
      </c>
      <c r="J940" s="36">
        <f t="shared" si="200"/>
        <v>135727.30000000002</v>
      </c>
      <c r="K940" s="7">
        <f>K941</f>
        <v>-2173.2</v>
      </c>
      <c r="L940" s="36">
        <f t="shared" si="210"/>
        <v>133554.1</v>
      </c>
      <c r="M940" s="7">
        <f>M941</f>
        <v>0</v>
      </c>
      <c r="N940" s="36">
        <f t="shared" si="211"/>
        <v>133554.1</v>
      </c>
      <c r="O940" s="7">
        <f>O941</f>
        <v>-140.2</v>
      </c>
      <c r="P940" s="36">
        <f t="shared" si="207"/>
        <v>133413.9</v>
      </c>
      <c r="Q940" s="7">
        <f>Q941</f>
        <v>-1759.9</v>
      </c>
      <c r="R940" s="36">
        <f t="shared" si="205"/>
        <v>131654</v>
      </c>
    </row>
    <row r="941" spans="1:18" ht="12.75">
      <c r="A941" s="62" t="s">
        <v>260</v>
      </c>
      <c r="B941" s="46" t="s">
        <v>50</v>
      </c>
      <c r="C941" s="8" t="s">
        <v>229</v>
      </c>
      <c r="D941" s="8" t="s">
        <v>223</v>
      </c>
      <c r="E941" s="115"/>
      <c r="F941" s="7">
        <f>F942+F945</f>
        <v>136626.2</v>
      </c>
      <c r="G941" s="7">
        <f>G942+G945</f>
        <v>0</v>
      </c>
      <c r="H941" s="36">
        <f t="shared" si="202"/>
        <v>136626.2</v>
      </c>
      <c r="I941" s="7">
        <f>I942+I945</f>
        <v>-898.9000000000001</v>
      </c>
      <c r="J941" s="36">
        <f t="shared" si="200"/>
        <v>135727.30000000002</v>
      </c>
      <c r="K941" s="7">
        <f>K942+K945</f>
        <v>-2173.2</v>
      </c>
      <c r="L941" s="36">
        <f t="shared" si="210"/>
        <v>133554.1</v>
      </c>
      <c r="M941" s="7">
        <f>M942+M945</f>
        <v>0</v>
      </c>
      <c r="N941" s="36">
        <f t="shared" si="211"/>
        <v>133554.1</v>
      </c>
      <c r="O941" s="7">
        <f>O942+O945</f>
        <v>-140.2</v>
      </c>
      <c r="P941" s="36">
        <f t="shared" si="207"/>
        <v>133413.9</v>
      </c>
      <c r="Q941" s="7">
        <f>Q942+Q945</f>
        <v>-1759.9</v>
      </c>
      <c r="R941" s="36">
        <f t="shared" si="205"/>
        <v>131654</v>
      </c>
    </row>
    <row r="942" spans="1:18" ht="12.75">
      <c r="A942" s="62" t="str">
        <f ca="1">IF(ISERROR(MATCH(E942,Код_КВР,0)),"",INDIRECT(ADDRESS(MATCH(E942,Код_КВР,0)+1,2,,,"КВР")))</f>
        <v>Закупка товаров, работ и услуг для муниципальных нужд</v>
      </c>
      <c r="B942" s="46" t="s">
        <v>50</v>
      </c>
      <c r="C942" s="8" t="s">
        <v>229</v>
      </c>
      <c r="D942" s="8" t="s">
        <v>223</v>
      </c>
      <c r="E942" s="115">
        <v>200</v>
      </c>
      <c r="F942" s="7">
        <f>F943</f>
        <v>104444.7</v>
      </c>
      <c r="G942" s="7">
        <f>G943</f>
        <v>0</v>
      </c>
      <c r="H942" s="36">
        <f t="shared" si="202"/>
        <v>104444.7</v>
      </c>
      <c r="I942" s="7">
        <f>I943</f>
        <v>286.2</v>
      </c>
      <c r="J942" s="36">
        <f t="shared" si="200"/>
        <v>104730.9</v>
      </c>
      <c r="K942" s="7">
        <f>K943</f>
        <v>-2173.2</v>
      </c>
      <c r="L942" s="36">
        <f t="shared" si="210"/>
        <v>102557.7</v>
      </c>
      <c r="M942" s="7">
        <f>M943</f>
        <v>0</v>
      </c>
      <c r="N942" s="36">
        <f t="shared" si="211"/>
        <v>102557.7</v>
      </c>
      <c r="O942" s="7">
        <f>O943</f>
        <v>-140.2</v>
      </c>
      <c r="P942" s="36">
        <f t="shared" si="207"/>
        <v>102417.5</v>
      </c>
      <c r="Q942" s="7">
        <f>Q943</f>
        <v>-1759.9</v>
      </c>
      <c r="R942" s="36">
        <f t="shared" si="205"/>
        <v>100657.6</v>
      </c>
    </row>
    <row r="943" spans="1:18" ht="33">
      <c r="A943" s="62" t="str">
        <f ca="1">IF(ISERROR(MATCH(E943,Код_КВР,0)),"",INDIRECT(ADDRESS(MATCH(E943,Код_КВР,0)+1,2,,,"КВР")))</f>
        <v>Иные закупки товаров, работ и услуг для обеспечения муниципальных нужд</v>
      </c>
      <c r="B943" s="46" t="s">
        <v>50</v>
      </c>
      <c r="C943" s="8" t="s">
        <v>229</v>
      </c>
      <c r="D943" s="8" t="s">
        <v>223</v>
      </c>
      <c r="E943" s="115">
        <v>240</v>
      </c>
      <c r="F943" s="7">
        <f>F944</f>
        <v>104444.7</v>
      </c>
      <c r="G943" s="7">
        <f>G944</f>
        <v>0</v>
      </c>
      <c r="H943" s="36">
        <f t="shared" si="202"/>
        <v>104444.7</v>
      </c>
      <c r="I943" s="7">
        <f>I944</f>
        <v>286.2</v>
      </c>
      <c r="J943" s="36">
        <f t="shared" si="200"/>
        <v>104730.9</v>
      </c>
      <c r="K943" s="7">
        <f>K944</f>
        <v>-2173.2</v>
      </c>
      <c r="L943" s="36">
        <f t="shared" si="210"/>
        <v>102557.7</v>
      </c>
      <c r="M943" s="7">
        <f>M944</f>
        <v>0</v>
      </c>
      <c r="N943" s="36">
        <f t="shared" si="211"/>
        <v>102557.7</v>
      </c>
      <c r="O943" s="7">
        <f>O944</f>
        <v>-140.2</v>
      </c>
      <c r="P943" s="36">
        <f t="shared" si="207"/>
        <v>102417.5</v>
      </c>
      <c r="Q943" s="7">
        <f>Q944</f>
        <v>-1759.9</v>
      </c>
      <c r="R943" s="36">
        <f t="shared" si="205"/>
        <v>100657.6</v>
      </c>
    </row>
    <row r="944" spans="1:18" ht="33">
      <c r="A944" s="62" t="str">
        <f ca="1">IF(ISERROR(MATCH(E944,Код_КВР,0)),"",INDIRECT(ADDRESS(MATCH(E944,Код_КВР,0)+1,2,,,"КВР")))</f>
        <v xml:space="preserve">Прочая закупка товаров, работ и услуг для обеспечения муниципальных нужд         </v>
      </c>
      <c r="B944" s="46" t="s">
        <v>50</v>
      </c>
      <c r="C944" s="8" t="s">
        <v>229</v>
      </c>
      <c r="D944" s="8" t="s">
        <v>223</v>
      </c>
      <c r="E944" s="115">
        <v>244</v>
      </c>
      <c r="F944" s="7">
        <f>'прил.5'!G498</f>
        <v>104444.7</v>
      </c>
      <c r="G944" s="7">
        <f>'прил.5'!H498</f>
        <v>0</v>
      </c>
      <c r="H944" s="36">
        <f t="shared" si="202"/>
        <v>104444.7</v>
      </c>
      <c r="I944" s="7">
        <f>'прил.5'!J498</f>
        <v>286.2</v>
      </c>
      <c r="J944" s="36">
        <f t="shared" si="200"/>
        <v>104730.9</v>
      </c>
      <c r="K944" s="7">
        <f>'прил.5'!L498</f>
        <v>-2173.2</v>
      </c>
      <c r="L944" s="36">
        <f t="shared" si="210"/>
        <v>102557.7</v>
      </c>
      <c r="M944" s="7">
        <f>'прил.5'!N498</f>
        <v>0</v>
      </c>
      <c r="N944" s="36">
        <f t="shared" si="211"/>
        <v>102557.7</v>
      </c>
      <c r="O944" s="7">
        <f>'прил.5'!P498</f>
        <v>-140.2</v>
      </c>
      <c r="P944" s="36">
        <f t="shared" si="207"/>
        <v>102417.5</v>
      </c>
      <c r="Q944" s="7">
        <f>'прил.5'!R498</f>
        <v>-1759.9</v>
      </c>
      <c r="R944" s="36">
        <f t="shared" si="205"/>
        <v>100657.6</v>
      </c>
    </row>
    <row r="945" spans="1:18" ht="12.75">
      <c r="A945" s="62" t="str">
        <f ca="1">IF(ISERROR(MATCH(E945,Код_КВР,0)),"",INDIRECT(ADDRESS(MATCH(E945,Код_КВР,0)+1,2,,,"КВР")))</f>
        <v>Иные бюджетные ассигнования</v>
      </c>
      <c r="B945" s="46" t="s">
        <v>50</v>
      </c>
      <c r="C945" s="8" t="s">
        <v>229</v>
      </c>
      <c r="D945" s="8" t="s">
        <v>223</v>
      </c>
      <c r="E945" s="115">
        <v>800</v>
      </c>
      <c r="F945" s="7">
        <f>F946</f>
        <v>32181.5</v>
      </c>
      <c r="G945" s="7">
        <f>G946</f>
        <v>0</v>
      </c>
      <c r="H945" s="36">
        <f t="shared" si="202"/>
        <v>32181.5</v>
      </c>
      <c r="I945" s="7">
        <f>I946</f>
        <v>-1185.1000000000001</v>
      </c>
      <c r="J945" s="36">
        <f t="shared" si="200"/>
        <v>30996.4</v>
      </c>
      <c r="K945" s="7">
        <f>K946</f>
        <v>0</v>
      </c>
      <c r="L945" s="36">
        <f t="shared" si="210"/>
        <v>30996.4</v>
      </c>
      <c r="M945" s="7">
        <f>M946</f>
        <v>0</v>
      </c>
      <c r="N945" s="36">
        <f t="shared" si="211"/>
        <v>30996.4</v>
      </c>
      <c r="O945" s="7">
        <f>O946</f>
        <v>0</v>
      </c>
      <c r="P945" s="36">
        <f t="shared" si="207"/>
        <v>30996.4</v>
      </c>
      <c r="Q945" s="7">
        <f>Q946</f>
        <v>0</v>
      </c>
      <c r="R945" s="36">
        <f t="shared" si="205"/>
        <v>30996.4</v>
      </c>
    </row>
    <row r="946" spans="1:18" ht="49.5">
      <c r="A946" s="62" t="str">
        <f ca="1">IF(ISERROR(MATCH(E946,Код_КВР,0)),"",INDIRECT(ADDRESS(MATCH(E946,Код_КВР,0)+1,2,,,"КВР")))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946" s="46" t="s">
        <v>50</v>
      </c>
      <c r="C946" s="8" t="s">
        <v>229</v>
      </c>
      <c r="D946" s="8" t="s">
        <v>223</v>
      </c>
      <c r="E946" s="115">
        <v>810</v>
      </c>
      <c r="F946" s="7">
        <f>'прил.5'!G500</f>
        <v>32181.5</v>
      </c>
      <c r="G946" s="7">
        <f>'прил.5'!H500</f>
        <v>0</v>
      </c>
      <c r="H946" s="36">
        <f t="shared" si="202"/>
        <v>32181.5</v>
      </c>
      <c r="I946" s="7">
        <f>'прил.5'!J500</f>
        <v>-1185.1000000000001</v>
      </c>
      <c r="J946" s="36">
        <f t="shared" si="200"/>
        <v>30996.4</v>
      </c>
      <c r="K946" s="7">
        <f>'прил.5'!L500</f>
        <v>0</v>
      </c>
      <c r="L946" s="36">
        <f t="shared" si="210"/>
        <v>30996.4</v>
      </c>
      <c r="M946" s="7">
        <f>'прил.5'!N500</f>
        <v>0</v>
      </c>
      <c r="N946" s="36">
        <f t="shared" si="211"/>
        <v>30996.4</v>
      </c>
      <c r="O946" s="7">
        <f>'прил.5'!P500</f>
        <v>0</v>
      </c>
      <c r="P946" s="36">
        <f t="shared" si="207"/>
        <v>30996.4</v>
      </c>
      <c r="Q946" s="7">
        <f>'прил.5'!R500</f>
        <v>0</v>
      </c>
      <c r="R946" s="36">
        <f t="shared" si="205"/>
        <v>30996.4</v>
      </c>
    </row>
    <row r="947" spans="1:18" ht="33">
      <c r="A947" s="62" t="str">
        <f ca="1">IF(ISERROR(MATCH(B947,Код_КЦСР,0)),"",INDIRECT(ADDRESS(MATCH(B947,Код_КЦСР,0)+1,2,,,"КЦСР")))</f>
        <v>Мероприятия по содержанию и ремонту улично-дорожной  сети города</v>
      </c>
      <c r="B947" s="46" t="s">
        <v>52</v>
      </c>
      <c r="C947" s="8"/>
      <c r="D947" s="1"/>
      <c r="E947" s="115"/>
      <c r="F947" s="7">
        <f>F948</f>
        <v>352239.7</v>
      </c>
      <c r="G947" s="7">
        <f>G948</f>
        <v>51383.6</v>
      </c>
      <c r="H947" s="36">
        <f t="shared" si="202"/>
        <v>403623.3</v>
      </c>
      <c r="I947" s="7">
        <f>I948</f>
        <v>0</v>
      </c>
      <c r="J947" s="36">
        <f aca="true" t="shared" si="212" ref="J947:J1016">H947+I947</f>
        <v>403623.3</v>
      </c>
      <c r="K947" s="7">
        <f>K948</f>
        <v>-3913.1000000000004</v>
      </c>
      <c r="L947" s="36">
        <f t="shared" si="210"/>
        <v>399710.2</v>
      </c>
      <c r="M947" s="7">
        <f>M948</f>
        <v>-676.6999999999999</v>
      </c>
      <c r="N947" s="36">
        <f t="shared" si="211"/>
        <v>399033.5</v>
      </c>
      <c r="O947" s="7">
        <f>O948</f>
        <v>0</v>
      </c>
      <c r="P947" s="36">
        <f t="shared" si="207"/>
        <v>399033.5</v>
      </c>
      <c r="Q947" s="7">
        <f>Q948</f>
        <v>-6029.799999999999</v>
      </c>
      <c r="R947" s="36">
        <f t="shared" si="205"/>
        <v>393003.7</v>
      </c>
    </row>
    <row r="948" spans="1:18" ht="12.75">
      <c r="A948" s="62" t="str">
        <f ca="1">IF(ISERROR(MATCH(C948,Код_Раздел,0)),"",INDIRECT(ADDRESS(MATCH(C948,Код_Раздел,0)+1,2,,,"Раздел")))</f>
        <v>Национальная экономика</v>
      </c>
      <c r="B948" s="46" t="s">
        <v>52</v>
      </c>
      <c r="C948" s="8" t="s">
        <v>224</v>
      </c>
      <c r="D948" s="1"/>
      <c r="E948" s="115"/>
      <c r="F948" s="7">
        <f>F949</f>
        <v>352239.7</v>
      </c>
      <c r="G948" s="7">
        <f>G949</f>
        <v>51383.6</v>
      </c>
      <c r="H948" s="36">
        <f t="shared" si="202"/>
        <v>403623.3</v>
      </c>
      <c r="I948" s="7">
        <f>I949</f>
        <v>0</v>
      </c>
      <c r="J948" s="36">
        <f t="shared" si="212"/>
        <v>403623.3</v>
      </c>
      <c r="K948" s="7">
        <f>K949</f>
        <v>-3913.1000000000004</v>
      </c>
      <c r="L948" s="36">
        <f t="shared" si="210"/>
        <v>399710.2</v>
      </c>
      <c r="M948" s="7">
        <f>M949</f>
        <v>-676.6999999999999</v>
      </c>
      <c r="N948" s="36">
        <f t="shared" si="211"/>
        <v>399033.5</v>
      </c>
      <c r="O948" s="7">
        <f>O949</f>
        <v>0</v>
      </c>
      <c r="P948" s="36">
        <f t="shared" si="207"/>
        <v>399033.5</v>
      </c>
      <c r="Q948" s="7">
        <f>Q949</f>
        <v>-6029.799999999999</v>
      </c>
      <c r="R948" s="36">
        <f t="shared" si="205"/>
        <v>393003.7</v>
      </c>
    </row>
    <row r="949" spans="1:18" ht="12.75">
      <c r="A949" s="79" t="s">
        <v>188</v>
      </c>
      <c r="B949" s="46" t="s">
        <v>52</v>
      </c>
      <c r="C949" s="8" t="s">
        <v>224</v>
      </c>
      <c r="D949" s="8" t="s">
        <v>227</v>
      </c>
      <c r="E949" s="115"/>
      <c r="F949" s="7">
        <f>F950+F952+F956</f>
        <v>352239.7</v>
      </c>
      <c r="G949" s="7">
        <f>G950+G952+G956</f>
        <v>51383.6</v>
      </c>
      <c r="H949" s="36">
        <f t="shared" si="202"/>
        <v>403623.3</v>
      </c>
      <c r="I949" s="7">
        <f>I950+I952+I956</f>
        <v>0</v>
      </c>
      <c r="J949" s="36">
        <f t="shared" si="212"/>
        <v>403623.3</v>
      </c>
      <c r="K949" s="7">
        <f>K950+K952+K956</f>
        <v>-3913.1000000000004</v>
      </c>
      <c r="L949" s="36">
        <f t="shared" si="210"/>
        <v>399710.2</v>
      </c>
      <c r="M949" s="7">
        <f>M950+M952+M956</f>
        <v>-676.6999999999999</v>
      </c>
      <c r="N949" s="36">
        <f t="shared" si="211"/>
        <v>399033.5</v>
      </c>
      <c r="O949" s="7">
        <f>O950+O952+O956</f>
        <v>0</v>
      </c>
      <c r="P949" s="36">
        <f t="shared" si="207"/>
        <v>399033.5</v>
      </c>
      <c r="Q949" s="7">
        <f>Q950+Q952+Q956</f>
        <v>-6029.799999999999</v>
      </c>
      <c r="R949" s="36">
        <f t="shared" si="205"/>
        <v>393003.7</v>
      </c>
    </row>
    <row r="950" spans="1:18" ht="33">
      <c r="A950" s="62" t="str">
        <f aca="true" t="shared" si="213" ref="A950:A958">IF(ISERROR(MATCH(E950,Код_КВР,0)),"",INDIRECT(ADDRESS(MATCH(E950,Код_КВР,0)+1,2,,,"КВР")))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50" s="46" t="s">
        <v>52</v>
      </c>
      <c r="C950" s="8" t="s">
        <v>224</v>
      </c>
      <c r="D950" s="8" t="s">
        <v>227</v>
      </c>
      <c r="E950" s="115">
        <v>100</v>
      </c>
      <c r="F950" s="7">
        <f>F951</f>
        <v>10425.9</v>
      </c>
      <c r="G950" s="7">
        <f>G951</f>
        <v>0</v>
      </c>
      <c r="H950" s="36">
        <f t="shared" si="202"/>
        <v>10425.9</v>
      </c>
      <c r="I950" s="7">
        <f>I951</f>
        <v>0</v>
      </c>
      <c r="J950" s="36">
        <f t="shared" si="212"/>
        <v>10425.9</v>
      </c>
      <c r="K950" s="7">
        <f>K951</f>
        <v>0</v>
      </c>
      <c r="L950" s="36">
        <f t="shared" si="210"/>
        <v>10425.9</v>
      </c>
      <c r="M950" s="7">
        <f>M951</f>
        <v>0</v>
      </c>
      <c r="N950" s="36">
        <f t="shared" si="211"/>
        <v>10425.9</v>
      </c>
      <c r="O950" s="7">
        <f>O951</f>
        <v>0</v>
      </c>
      <c r="P950" s="36">
        <f t="shared" si="207"/>
        <v>10425.9</v>
      </c>
      <c r="Q950" s="7">
        <f>Q951</f>
        <v>0</v>
      </c>
      <c r="R950" s="36">
        <f t="shared" si="205"/>
        <v>10425.9</v>
      </c>
    </row>
    <row r="951" spans="1:18" ht="12.75">
      <c r="A951" s="62" t="str">
        <f ca="1" t="shared" si="213"/>
        <v>Расходы на выплаты персоналу казенных учреждений</v>
      </c>
      <c r="B951" s="46" t="s">
        <v>52</v>
      </c>
      <c r="C951" s="8" t="s">
        <v>224</v>
      </c>
      <c r="D951" s="8" t="s">
        <v>227</v>
      </c>
      <c r="E951" s="115">
        <v>110</v>
      </c>
      <c r="F951" s="7">
        <f>'прил.5'!G437</f>
        <v>10425.9</v>
      </c>
      <c r="G951" s="7">
        <f>'прил.5'!H437</f>
        <v>0</v>
      </c>
      <c r="H951" s="36">
        <f t="shared" si="202"/>
        <v>10425.9</v>
      </c>
      <c r="I951" s="7">
        <f>'прил.5'!J437</f>
        <v>0</v>
      </c>
      <c r="J951" s="36">
        <f t="shared" si="212"/>
        <v>10425.9</v>
      </c>
      <c r="K951" s="7">
        <f>'прил.5'!L437</f>
        <v>0</v>
      </c>
      <c r="L951" s="36">
        <f t="shared" si="210"/>
        <v>10425.9</v>
      </c>
      <c r="M951" s="7">
        <f>'прил.5'!N437</f>
        <v>0</v>
      </c>
      <c r="N951" s="36">
        <f t="shared" si="211"/>
        <v>10425.9</v>
      </c>
      <c r="O951" s="7">
        <f>'прил.5'!P437</f>
        <v>0</v>
      </c>
      <c r="P951" s="36">
        <f t="shared" si="207"/>
        <v>10425.9</v>
      </c>
      <c r="Q951" s="7">
        <f>'прил.5'!R437</f>
        <v>0</v>
      </c>
      <c r="R951" s="36">
        <f t="shared" si="205"/>
        <v>10425.9</v>
      </c>
    </row>
    <row r="952" spans="1:18" ht="12.75">
      <c r="A952" s="62" t="str">
        <f ca="1" t="shared" si="213"/>
        <v>Закупка товаров, работ и услуг для муниципальных нужд</v>
      </c>
      <c r="B952" s="46" t="s">
        <v>52</v>
      </c>
      <c r="C952" s="8" t="s">
        <v>224</v>
      </c>
      <c r="D952" s="8" t="s">
        <v>227</v>
      </c>
      <c r="E952" s="115">
        <v>200</v>
      </c>
      <c r="F952" s="7">
        <f>F953</f>
        <v>341812.2</v>
      </c>
      <c r="G952" s="7">
        <f>G953</f>
        <v>51383.6</v>
      </c>
      <c r="H952" s="36">
        <f t="shared" si="202"/>
        <v>393195.8</v>
      </c>
      <c r="I952" s="7">
        <f>I953</f>
        <v>0</v>
      </c>
      <c r="J952" s="36">
        <f t="shared" si="212"/>
        <v>393195.8</v>
      </c>
      <c r="K952" s="7">
        <f>K953</f>
        <v>-3913.1000000000004</v>
      </c>
      <c r="L952" s="36">
        <f t="shared" si="210"/>
        <v>389282.7</v>
      </c>
      <c r="M952" s="7">
        <f>M953</f>
        <v>-676.6999999999999</v>
      </c>
      <c r="N952" s="36">
        <f t="shared" si="211"/>
        <v>388606</v>
      </c>
      <c r="O952" s="7">
        <f>O953</f>
        <v>0</v>
      </c>
      <c r="P952" s="36">
        <f t="shared" si="207"/>
        <v>388606</v>
      </c>
      <c r="Q952" s="7">
        <f>Q953</f>
        <v>-6029.799999999999</v>
      </c>
      <c r="R952" s="36">
        <f t="shared" si="205"/>
        <v>382576.2</v>
      </c>
    </row>
    <row r="953" spans="1:18" ht="33">
      <c r="A953" s="62" t="str">
        <f ca="1" t="shared" si="213"/>
        <v>Иные закупки товаров, работ и услуг для обеспечения муниципальных нужд</v>
      </c>
      <c r="B953" s="46" t="s">
        <v>52</v>
      </c>
      <c r="C953" s="8" t="s">
        <v>224</v>
      </c>
      <c r="D953" s="8" t="s">
        <v>227</v>
      </c>
      <c r="E953" s="115">
        <v>240</v>
      </c>
      <c r="F953" s="7">
        <f>SUM(F954:F955)</f>
        <v>341812.2</v>
      </c>
      <c r="G953" s="7">
        <f>SUM(G954:G955)</f>
        <v>51383.6</v>
      </c>
      <c r="H953" s="36">
        <f t="shared" si="202"/>
        <v>393195.8</v>
      </c>
      <c r="I953" s="7">
        <f>SUM(I954:I955)</f>
        <v>0</v>
      </c>
      <c r="J953" s="36">
        <f t="shared" si="212"/>
        <v>393195.8</v>
      </c>
      <c r="K953" s="7">
        <f>SUM(K954:K955)</f>
        <v>-3913.1000000000004</v>
      </c>
      <c r="L953" s="36">
        <f t="shared" si="210"/>
        <v>389282.7</v>
      </c>
      <c r="M953" s="7">
        <f>SUM(M954:M955)</f>
        <v>-676.6999999999999</v>
      </c>
      <c r="N953" s="36">
        <f t="shared" si="211"/>
        <v>388606</v>
      </c>
      <c r="O953" s="7">
        <f>SUM(O954:O955)</f>
        <v>0</v>
      </c>
      <c r="P953" s="36">
        <f t="shared" si="207"/>
        <v>388606</v>
      </c>
      <c r="Q953" s="7">
        <f>SUM(Q954:Q955)</f>
        <v>-6029.799999999999</v>
      </c>
      <c r="R953" s="36">
        <f t="shared" si="205"/>
        <v>382576.2</v>
      </c>
    </row>
    <row r="954" spans="1:18" ht="33" hidden="1">
      <c r="A954" s="62" t="str">
        <f ca="1" t="shared" si="213"/>
        <v>Закупка товаров, работ, услуг в сфере информационно-коммуникационных технологий</v>
      </c>
      <c r="B954" s="46" t="s">
        <v>52</v>
      </c>
      <c r="C954" s="8" t="s">
        <v>224</v>
      </c>
      <c r="D954" s="8" t="s">
        <v>227</v>
      </c>
      <c r="E954" s="115">
        <v>242</v>
      </c>
      <c r="F954" s="7">
        <f>'прил.5'!G440</f>
        <v>665.5</v>
      </c>
      <c r="G954" s="7">
        <f>'прил.5'!H440</f>
        <v>0</v>
      </c>
      <c r="H954" s="36">
        <f t="shared" si="202"/>
        <v>665.5</v>
      </c>
      <c r="I954" s="7">
        <f>'прил.5'!J440</f>
        <v>-665.5</v>
      </c>
      <c r="J954" s="36">
        <f t="shared" si="212"/>
        <v>0</v>
      </c>
      <c r="K954" s="7">
        <f>'прил.5'!L440</f>
        <v>0</v>
      </c>
      <c r="L954" s="36">
        <f t="shared" si="210"/>
        <v>0</v>
      </c>
      <c r="M954" s="7">
        <f>'прил.5'!N440</f>
        <v>0</v>
      </c>
      <c r="N954" s="36">
        <f t="shared" si="211"/>
        <v>0</v>
      </c>
      <c r="O954" s="7">
        <f>'прил.5'!P440</f>
        <v>0</v>
      </c>
      <c r="P954" s="36">
        <f t="shared" si="207"/>
        <v>0</v>
      </c>
      <c r="Q954" s="7">
        <f>'прил.5'!R440</f>
        <v>0</v>
      </c>
      <c r="R954" s="36">
        <f t="shared" si="205"/>
        <v>0</v>
      </c>
    </row>
    <row r="955" spans="1:18" ht="33">
      <c r="A955" s="62" t="str">
        <f ca="1" t="shared" si="213"/>
        <v xml:space="preserve">Прочая закупка товаров, работ и услуг для обеспечения муниципальных нужд         </v>
      </c>
      <c r="B955" s="46" t="s">
        <v>52</v>
      </c>
      <c r="C955" s="8" t="s">
        <v>224</v>
      </c>
      <c r="D955" s="8" t="s">
        <v>227</v>
      </c>
      <c r="E955" s="115">
        <v>244</v>
      </c>
      <c r="F955" s="7">
        <f>'прил.5'!G441</f>
        <v>341146.7</v>
      </c>
      <c r="G955" s="7">
        <f>'прил.5'!H441</f>
        <v>51383.6</v>
      </c>
      <c r="H955" s="36">
        <f aca="true" t="shared" si="214" ref="H955:H1024">F955+G955</f>
        <v>392530.3</v>
      </c>
      <c r="I955" s="7">
        <f>'прил.5'!J441</f>
        <v>665.5</v>
      </c>
      <c r="J955" s="36">
        <f t="shared" si="212"/>
        <v>393195.8</v>
      </c>
      <c r="K955" s="7">
        <f>'прил.5'!L441</f>
        <v>-3913.1000000000004</v>
      </c>
      <c r="L955" s="36">
        <f t="shared" si="210"/>
        <v>389282.7</v>
      </c>
      <c r="M955" s="7">
        <f>'прил.5'!N441</f>
        <v>-676.6999999999999</v>
      </c>
      <c r="N955" s="36">
        <f t="shared" si="211"/>
        <v>388606</v>
      </c>
      <c r="O955" s="7">
        <f>'прил.5'!P441</f>
        <v>0</v>
      </c>
      <c r="P955" s="36">
        <f t="shared" si="207"/>
        <v>388606</v>
      </c>
      <c r="Q955" s="7">
        <f>'прил.5'!R441</f>
        <v>-6029.799999999999</v>
      </c>
      <c r="R955" s="36">
        <f t="shared" si="205"/>
        <v>382576.2</v>
      </c>
    </row>
    <row r="956" spans="1:18" ht="12.75">
      <c r="A956" s="62" t="str">
        <f ca="1" t="shared" si="213"/>
        <v>Иные бюджетные ассигнования</v>
      </c>
      <c r="B956" s="46" t="s">
        <v>52</v>
      </c>
      <c r="C956" s="8" t="s">
        <v>224</v>
      </c>
      <c r="D956" s="8" t="s">
        <v>227</v>
      </c>
      <c r="E956" s="115">
        <v>800</v>
      </c>
      <c r="F956" s="7">
        <f>F957</f>
        <v>1.6</v>
      </c>
      <c r="G956" s="7">
        <f>G957</f>
        <v>0</v>
      </c>
      <c r="H956" s="36">
        <f t="shared" si="214"/>
        <v>1.6</v>
      </c>
      <c r="I956" s="7">
        <f>I957</f>
        <v>0</v>
      </c>
      <c r="J956" s="36">
        <f t="shared" si="212"/>
        <v>1.6</v>
      </c>
      <c r="K956" s="7">
        <f>K957</f>
        <v>0</v>
      </c>
      <c r="L956" s="36">
        <f t="shared" si="210"/>
        <v>1.6</v>
      </c>
      <c r="M956" s="7">
        <f>M957</f>
        <v>0</v>
      </c>
      <c r="N956" s="36">
        <f t="shared" si="211"/>
        <v>1.6</v>
      </c>
      <c r="O956" s="7">
        <f>O957</f>
        <v>0</v>
      </c>
      <c r="P956" s="36">
        <f t="shared" si="207"/>
        <v>1.6</v>
      </c>
      <c r="Q956" s="7">
        <f>Q957</f>
        <v>0</v>
      </c>
      <c r="R956" s="36">
        <f t="shared" si="205"/>
        <v>1.6</v>
      </c>
    </row>
    <row r="957" spans="1:18" ht="12.75">
      <c r="A957" s="62" t="str">
        <f ca="1" t="shared" si="213"/>
        <v>Уплата налогов, сборов и иных платежей</v>
      </c>
      <c r="B957" s="46" t="s">
        <v>52</v>
      </c>
      <c r="C957" s="8" t="s">
        <v>224</v>
      </c>
      <c r="D957" s="8" t="s">
        <v>227</v>
      </c>
      <c r="E957" s="115">
        <v>850</v>
      </c>
      <c r="F957" s="7">
        <f>F958</f>
        <v>1.6</v>
      </c>
      <c r="G957" s="7">
        <f>G958</f>
        <v>0</v>
      </c>
      <c r="H957" s="36">
        <f t="shared" si="214"/>
        <v>1.6</v>
      </c>
      <c r="I957" s="7">
        <f>I958</f>
        <v>0</v>
      </c>
      <c r="J957" s="36">
        <f t="shared" si="212"/>
        <v>1.6</v>
      </c>
      <c r="K957" s="7">
        <f>K958</f>
        <v>0</v>
      </c>
      <c r="L957" s="36">
        <f t="shared" si="210"/>
        <v>1.6</v>
      </c>
      <c r="M957" s="7">
        <f>M958</f>
        <v>0</v>
      </c>
      <c r="N957" s="36">
        <f t="shared" si="211"/>
        <v>1.6</v>
      </c>
      <c r="O957" s="7">
        <f>O958</f>
        <v>0</v>
      </c>
      <c r="P957" s="36">
        <f t="shared" si="207"/>
        <v>1.6</v>
      </c>
      <c r="Q957" s="7">
        <f>Q958</f>
        <v>0</v>
      </c>
      <c r="R957" s="36">
        <f t="shared" si="205"/>
        <v>1.6</v>
      </c>
    </row>
    <row r="958" spans="1:18" ht="12.75">
      <c r="A958" s="62" t="str">
        <f ca="1" t="shared" si="213"/>
        <v>Уплата прочих налогов, сборов и иных платежей</v>
      </c>
      <c r="B958" s="46" t="s">
        <v>52</v>
      </c>
      <c r="C958" s="8" t="s">
        <v>224</v>
      </c>
      <c r="D958" s="8" t="s">
        <v>227</v>
      </c>
      <c r="E958" s="115">
        <v>852</v>
      </c>
      <c r="F958" s="7">
        <f>'прил.5'!G444</f>
        <v>1.6</v>
      </c>
      <c r="G958" s="7">
        <f>'прил.5'!H444</f>
        <v>0</v>
      </c>
      <c r="H958" s="36">
        <f t="shared" si="214"/>
        <v>1.6</v>
      </c>
      <c r="I958" s="7">
        <f>'прил.5'!J444</f>
        <v>0</v>
      </c>
      <c r="J958" s="36">
        <f t="shared" si="212"/>
        <v>1.6</v>
      </c>
      <c r="K958" s="7">
        <f>'прил.5'!L444</f>
        <v>0</v>
      </c>
      <c r="L958" s="36">
        <f t="shared" si="210"/>
        <v>1.6</v>
      </c>
      <c r="M958" s="7">
        <f>'прил.5'!N444</f>
        <v>0</v>
      </c>
      <c r="N958" s="36">
        <f t="shared" si="211"/>
        <v>1.6</v>
      </c>
      <c r="O958" s="7">
        <f>'прил.5'!P444</f>
        <v>0</v>
      </c>
      <c r="P958" s="36">
        <f t="shared" si="207"/>
        <v>1.6</v>
      </c>
      <c r="Q958" s="7">
        <f>'прил.5'!R444</f>
        <v>0</v>
      </c>
      <c r="R958" s="36">
        <f t="shared" si="205"/>
        <v>1.6</v>
      </c>
    </row>
    <row r="959" spans="1:18" ht="33">
      <c r="A959" s="62" t="str">
        <f ca="1">IF(ISERROR(MATCH(B959,Код_КЦСР,0)),"",INDIRECT(ADDRESS(MATCH(B959,Код_КЦСР,0)+1,2,,,"КЦСР")))</f>
        <v>Мероприятия по решению общегосударственных вопросов и вопросов в области национальной политики</v>
      </c>
      <c r="B959" s="46" t="s">
        <v>54</v>
      </c>
      <c r="C959" s="8"/>
      <c r="D959" s="1"/>
      <c r="E959" s="115"/>
      <c r="F959" s="7">
        <f>F960+F965</f>
        <v>240</v>
      </c>
      <c r="G959" s="7">
        <f>G960+G965</f>
        <v>0</v>
      </c>
      <c r="H959" s="36">
        <f t="shared" si="214"/>
        <v>240</v>
      </c>
      <c r="I959" s="7">
        <f>I960+I965</f>
        <v>0</v>
      </c>
      <c r="J959" s="36">
        <f t="shared" si="212"/>
        <v>240</v>
      </c>
      <c r="K959" s="7">
        <f>K960+K965</f>
        <v>0</v>
      </c>
      <c r="L959" s="36">
        <f t="shared" si="210"/>
        <v>240</v>
      </c>
      <c r="M959" s="7">
        <f>M960+M965</f>
        <v>0</v>
      </c>
      <c r="N959" s="36">
        <f t="shared" si="211"/>
        <v>240</v>
      </c>
      <c r="O959" s="7">
        <f>O960+O965</f>
        <v>0</v>
      </c>
      <c r="P959" s="36">
        <f t="shared" si="207"/>
        <v>240</v>
      </c>
      <c r="Q959" s="7">
        <f>Q960+Q965</f>
        <v>0</v>
      </c>
      <c r="R959" s="36">
        <f t="shared" si="205"/>
        <v>240</v>
      </c>
    </row>
    <row r="960" spans="1:18" ht="12.75">
      <c r="A960" s="62" t="str">
        <f ca="1">IF(ISERROR(MATCH(C960,Код_Раздел,0)),"",INDIRECT(ADDRESS(MATCH(C960,Код_Раздел,0)+1,2,,,"Раздел")))</f>
        <v>Общегосударственные  вопросы</v>
      </c>
      <c r="B960" s="46" t="s">
        <v>54</v>
      </c>
      <c r="C960" s="8" t="s">
        <v>221</v>
      </c>
      <c r="D960" s="1"/>
      <c r="E960" s="115"/>
      <c r="F960" s="7">
        <f aca="true" t="shared" si="215" ref="F960:Q963">F961</f>
        <v>160</v>
      </c>
      <c r="G960" s="7">
        <f t="shared" si="215"/>
        <v>0</v>
      </c>
      <c r="H960" s="36">
        <f t="shared" si="214"/>
        <v>160</v>
      </c>
      <c r="I960" s="7">
        <f t="shared" si="215"/>
        <v>0</v>
      </c>
      <c r="J960" s="36">
        <f t="shared" si="212"/>
        <v>160</v>
      </c>
      <c r="K960" s="7">
        <f t="shared" si="215"/>
        <v>0</v>
      </c>
      <c r="L960" s="36">
        <f t="shared" si="210"/>
        <v>160</v>
      </c>
      <c r="M960" s="7">
        <f t="shared" si="215"/>
        <v>0</v>
      </c>
      <c r="N960" s="36">
        <f t="shared" si="211"/>
        <v>160</v>
      </c>
      <c r="O960" s="7">
        <f t="shared" si="215"/>
        <v>0</v>
      </c>
      <c r="P960" s="36">
        <f t="shared" si="207"/>
        <v>160</v>
      </c>
      <c r="Q960" s="7">
        <f t="shared" si="215"/>
        <v>0</v>
      </c>
      <c r="R960" s="36">
        <f t="shared" si="205"/>
        <v>160</v>
      </c>
    </row>
    <row r="961" spans="1:18" ht="12.75">
      <c r="A961" s="12" t="s">
        <v>245</v>
      </c>
      <c r="B961" s="46" t="s">
        <v>54</v>
      </c>
      <c r="C961" s="8" t="s">
        <v>221</v>
      </c>
      <c r="D961" s="1" t="s">
        <v>198</v>
      </c>
      <c r="E961" s="115"/>
      <c r="F961" s="7">
        <f t="shared" si="215"/>
        <v>160</v>
      </c>
      <c r="G961" s="7">
        <f t="shared" si="215"/>
        <v>0</v>
      </c>
      <c r="H961" s="36">
        <f t="shared" si="214"/>
        <v>160</v>
      </c>
      <c r="I961" s="7">
        <f t="shared" si="215"/>
        <v>0</v>
      </c>
      <c r="J961" s="36">
        <f t="shared" si="212"/>
        <v>160</v>
      </c>
      <c r="K961" s="7">
        <f t="shared" si="215"/>
        <v>0</v>
      </c>
      <c r="L961" s="36">
        <f t="shared" si="210"/>
        <v>160</v>
      </c>
      <c r="M961" s="7">
        <f t="shared" si="215"/>
        <v>0</v>
      </c>
      <c r="N961" s="36">
        <f t="shared" si="211"/>
        <v>160</v>
      </c>
      <c r="O961" s="7">
        <f t="shared" si="215"/>
        <v>0</v>
      </c>
      <c r="P961" s="36">
        <f t="shared" si="207"/>
        <v>160</v>
      </c>
      <c r="Q961" s="7">
        <f t="shared" si="215"/>
        <v>0</v>
      </c>
      <c r="R961" s="36">
        <f t="shared" si="205"/>
        <v>160</v>
      </c>
    </row>
    <row r="962" spans="1:18" ht="12.75">
      <c r="A962" s="62" t="str">
        <f ca="1">IF(ISERROR(MATCH(E962,Код_КВР,0)),"",INDIRECT(ADDRESS(MATCH(E962,Код_КВР,0)+1,2,,,"КВР")))</f>
        <v>Закупка товаров, работ и услуг для муниципальных нужд</v>
      </c>
      <c r="B962" s="46" t="s">
        <v>54</v>
      </c>
      <c r="C962" s="8" t="s">
        <v>221</v>
      </c>
      <c r="D962" s="1" t="s">
        <v>198</v>
      </c>
      <c r="E962" s="115">
        <v>200</v>
      </c>
      <c r="F962" s="7">
        <f t="shared" si="215"/>
        <v>160</v>
      </c>
      <c r="G962" s="7">
        <f t="shared" si="215"/>
        <v>0</v>
      </c>
      <c r="H962" s="36">
        <f t="shared" si="214"/>
        <v>160</v>
      </c>
      <c r="I962" s="7">
        <f t="shared" si="215"/>
        <v>0</v>
      </c>
      <c r="J962" s="36">
        <f t="shared" si="212"/>
        <v>160</v>
      </c>
      <c r="K962" s="7">
        <f t="shared" si="215"/>
        <v>0</v>
      </c>
      <c r="L962" s="36">
        <f t="shared" si="210"/>
        <v>160</v>
      </c>
      <c r="M962" s="7">
        <f t="shared" si="215"/>
        <v>0</v>
      </c>
      <c r="N962" s="36">
        <f t="shared" si="211"/>
        <v>160</v>
      </c>
      <c r="O962" s="7">
        <f t="shared" si="215"/>
        <v>0</v>
      </c>
      <c r="P962" s="36">
        <f t="shared" si="207"/>
        <v>160</v>
      </c>
      <c r="Q962" s="7">
        <f t="shared" si="215"/>
        <v>0</v>
      </c>
      <c r="R962" s="36">
        <f t="shared" si="205"/>
        <v>160</v>
      </c>
    </row>
    <row r="963" spans="1:18" ht="33">
      <c r="A963" s="62" t="str">
        <f ca="1">IF(ISERROR(MATCH(E963,Код_КВР,0)),"",INDIRECT(ADDRESS(MATCH(E963,Код_КВР,0)+1,2,,,"КВР")))</f>
        <v>Иные закупки товаров, работ и услуг для обеспечения муниципальных нужд</v>
      </c>
      <c r="B963" s="46" t="s">
        <v>54</v>
      </c>
      <c r="C963" s="8" t="s">
        <v>221</v>
      </c>
      <c r="D963" s="1" t="s">
        <v>198</v>
      </c>
      <c r="E963" s="115">
        <v>240</v>
      </c>
      <c r="F963" s="7">
        <f t="shared" si="215"/>
        <v>160</v>
      </c>
      <c r="G963" s="7">
        <f t="shared" si="215"/>
        <v>0</v>
      </c>
      <c r="H963" s="36">
        <f t="shared" si="214"/>
        <v>160</v>
      </c>
      <c r="I963" s="7">
        <f t="shared" si="215"/>
        <v>0</v>
      </c>
      <c r="J963" s="36">
        <f t="shared" si="212"/>
        <v>160</v>
      </c>
      <c r="K963" s="7">
        <f t="shared" si="215"/>
        <v>0</v>
      </c>
      <c r="L963" s="36">
        <f t="shared" si="210"/>
        <v>160</v>
      </c>
      <c r="M963" s="7">
        <f t="shared" si="215"/>
        <v>0</v>
      </c>
      <c r="N963" s="36">
        <f t="shared" si="211"/>
        <v>160</v>
      </c>
      <c r="O963" s="7">
        <f t="shared" si="215"/>
        <v>0</v>
      </c>
      <c r="P963" s="36">
        <f t="shared" si="207"/>
        <v>160</v>
      </c>
      <c r="Q963" s="7">
        <f t="shared" si="215"/>
        <v>0</v>
      </c>
      <c r="R963" s="36">
        <f t="shared" si="205"/>
        <v>160</v>
      </c>
    </row>
    <row r="964" spans="1:18" ht="33">
      <c r="A964" s="62" t="str">
        <f ca="1">IF(ISERROR(MATCH(E964,Код_КВР,0)),"",INDIRECT(ADDRESS(MATCH(E964,Код_КВР,0)+1,2,,,"КВР")))</f>
        <v xml:space="preserve">Прочая закупка товаров, работ и услуг для обеспечения муниципальных нужд         </v>
      </c>
      <c r="B964" s="46" t="s">
        <v>54</v>
      </c>
      <c r="C964" s="8" t="s">
        <v>221</v>
      </c>
      <c r="D964" s="1" t="s">
        <v>198</v>
      </c>
      <c r="E964" s="115">
        <v>244</v>
      </c>
      <c r="F964" s="7">
        <f>'прил.5'!G415</f>
        <v>160</v>
      </c>
      <c r="G964" s="7">
        <f>'прил.5'!H415</f>
        <v>0</v>
      </c>
      <c r="H964" s="36">
        <f t="shared" si="214"/>
        <v>160</v>
      </c>
      <c r="I964" s="7">
        <f>'прил.5'!J415</f>
        <v>0</v>
      </c>
      <c r="J964" s="36">
        <f t="shared" si="212"/>
        <v>160</v>
      </c>
      <c r="K964" s="7">
        <f>'прил.5'!L415</f>
        <v>0</v>
      </c>
      <c r="L964" s="36">
        <f t="shared" si="210"/>
        <v>160</v>
      </c>
      <c r="M964" s="7">
        <f>'прил.5'!N415</f>
        <v>0</v>
      </c>
      <c r="N964" s="36">
        <f t="shared" si="211"/>
        <v>160</v>
      </c>
      <c r="O964" s="7">
        <f>'прил.5'!P415</f>
        <v>0</v>
      </c>
      <c r="P964" s="36">
        <f t="shared" si="207"/>
        <v>160</v>
      </c>
      <c r="Q964" s="7">
        <f>'прил.5'!R415</f>
        <v>0</v>
      </c>
      <c r="R964" s="36">
        <f t="shared" si="205"/>
        <v>160</v>
      </c>
    </row>
    <row r="965" spans="1:18" ht="12.75">
      <c r="A965" s="62" t="str">
        <f ca="1">IF(ISERROR(MATCH(C965,Код_Раздел,0)),"",INDIRECT(ADDRESS(MATCH(C965,Код_Раздел,0)+1,2,,,"Раздел")))</f>
        <v>Национальная экономика</v>
      </c>
      <c r="B965" s="46" t="s">
        <v>54</v>
      </c>
      <c r="C965" s="8" t="s">
        <v>224</v>
      </c>
      <c r="D965" s="1"/>
      <c r="E965" s="115"/>
      <c r="F965" s="7">
        <f aca="true" t="shared" si="216" ref="F965:Q968">F966</f>
        <v>80</v>
      </c>
      <c r="G965" s="7">
        <f t="shared" si="216"/>
        <v>0</v>
      </c>
      <c r="H965" s="36">
        <f t="shared" si="214"/>
        <v>80</v>
      </c>
      <c r="I965" s="7">
        <f t="shared" si="216"/>
        <v>0</v>
      </c>
      <c r="J965" s="36">
        <f t="shared" si="212"/>
        <v>80</v>
      </c>
      <c r="K965" s="7">
        <f t="shared" si="216"/>
        <v>0</v>
      </c>
      <c r="L965" s="36">
        <f t="shared" si="210"/>
        <v>80</v>
      </c>
      <c r="M965" s="7">
        <f t="shared" si="216"/>
        <v>0</v>
      </c>
      <c r="N965" s="36">
        <f t="shared" si="211"/>
        <v>80</v>
      </c>
      <c r="O965" s="7">
        <f t="shared" si="216"/>
        <v>0</v>
      </c>
      <c r="P965" s="36">
        <f t="shared" si="207"/>
        <v>80</v>
      </c>
      <c r="Q965" s="7">
        <f t="shared" si="216"/>
        <v>0</v>
      </c>
      <c r="R965" s="36">
        <f t="shared" si="205"/>
        <v>80</v>
      </c>
    </row>
    <row r="966" spans="1:18" ht="12.75">
      <c r="A966" s="12" t="s">
        <v>245</v>
      </c>
      <c r="B966" s="46" t="s">
        <v>54</v>
      </c>
      <c r="C966" s="8" t="s">
        <v>224</v>
      </c>
      <c r="D966" s="8" t="s">
        <v>204</v>
      </c>
      <c r="E966" s="115"/>
      <c r="F966" s="7">
        <f t="shared" si="216"/>
        <v>80</v>
      </c>
      <c r="G966" s="7">
        <f t="shared" si="216"/>
        <v>0</v>
      </c>
      <c r="H966" s="36">
        <f t="shared" si="214"/>
        <v>80</v>
      </c>
      <c r="I966" s="7">
        <f t="shared" si="216"/>
        <v>0</v>
      </c>
      <c r="J966" s="36">
        <f t="shared" si="212"/>
        <v>80</v>
      </c>
      <c r="K966" s="7">
        <f t="shared" si="216"/>
        <v>0</v>
      </c>
      <c r="L966" s="36">
        <f t="shared" si="210"/>
        <v>80</v>
      </c>
      <c r="M966" s="7">
        <f t="shared" si="216"/>
        <v>0</v>
      </c>
      <c r="N966" s="36">
        <f t="shared" si="211"/>
        <v>80</v>
      </c>
      <c r="O966" s="7">
        <f t="shared" si="216"/>
        <v>0</v>
      </c>
      <c r="P966" s="36">
        <f t="shared" si="207"/>
        <v>80</v>
      </c>
      <c r="Q966" s="7">
        <f t="shared" si="216"/>
        <v>0</v>
      </c>
      <c r="R966" s="36">
        <f t="shared" si="205"/>
        <v>80</v>
      </c>
    </row>
    <row r="967" spans="1:18" ht="12.75">
      <c r="A967" s="62" t="str">
        <f ca="1">IF(ISERROR(MATCH(E967,Код_КВР,0)),"",INDIRECT(ADDRESS(MATCH(E967,Код_КВР,0)+1,2,,,"КВР")))</f>
        <v>Закупка товаров, работ и услуг для муниципальных нужд</v>
      </c>
      <c r="B967" s="46" t="s">
        <v>54</v>
      </c>
      <c r="C967" s="8" t="s">
        <v>224</v>
      </c>
      <c r="D967" s="8" t="s">
        <v>204</v>
      </c>
      <c r="E967" s="115">
        <v>200</v>
      </c>
      <c r="F967" s="7">
        <f t="shared" si="216"/>
        <v>80</v>
      </c>
      <c r="G967" s="7">
        <f t="shared" si="216"/>
        <v>0</v>
      </c>
      <c r="H967" s="36">
        <f t="shared" si="214"/>
        <v>80</v>
      </c>
      <c r="I967" s="7">
        <f t="shared" si="216"/>
        <v>0</v>
      </c>
      <c r="J967" s="36">
        <f t="shared" si="212"/>
        <v>80</v>
      </c>
      <c r="K967" s="7">
        <f t="shared" si="216"/>
        <v>0</v>
      </c>
      <c r="L967" s="36">
        <f t="shared" si="210"/>
        <v>80</v>
      </c>
      <c r="M967" s="7">
        <f t="shared" si="216"/>
        <v>0</v>
      </c>
      <c r="N967" s="36">
        <f t="shared" si="211"/>
        <v>80</v>
      </c>
      <c r="O967" s="7">
        <f t="shared" si="216"/>
        <v>0</v>
      </c>
      <c r="P967" s="36">
        <f t="shared" si="207"/>
        <v>80</v>
      </c>
      <c r="Q967" s="7">
        <f t="shared" si="216"/>
        <v>0</v>
      </c>
      <c r="R967" s="36">
        <f t="shared" si="205"/>
        <v>80</v>
      </c>
    </row>
    <row r="968" spans="1:18" ht="33">
      <c r="A968" s="62" t="str">
        <f ca="1">IF(ISERROR(MATCH(E968,Код_КВР,0)),"",INDIRECT(ADDRESS(MATCH(E968,Код_КВР,0)+1,2,,,"КВР")))</f>
        <v>Иные закупки товаров, работ и услуг для обеспечения муниципальных нужд</v>
      </c>
      <c r="B968" s="46" t="s">
        <v>54</v>
      </c>
      <c r="C968" s="8" t="s">
        <v>224</v>
      </c>
      <c r="D968" s="8" t="s">
        <v>204</v>
      </c>
      <c r="E968" s="115">
        <v>240</v>
      </c>
      <c r="F968" s="7">
        <f t="shared" si="216"/>
        <v>80</v>
      </c>
      <c r="G968" s="7">
        <f t="shared" si="216"/>
        <v>0</v>
      </c>
      <c r="H968" s="36">
        <f t="shared" si="214"/>
        <v>80</v>
      </c>
      <c r="I968" s="7">
        <f t="shared" si="216"/>
        <v>0</v>
      </c>
      <c r="J968" s="36">
        <f t="shared" si="212"/>
        <v>80</v>
      </c>
      <c r="K968" s="7">
        <f t="shared" si="216"/>
        <v>0</v>
      </c>
      <c r="L968" s="36">
        <f t="shared" si="210"/>
        <v>80</v>
      </c>
      <c r="M968" s="7">
        <f t="shared" si="216"/>
        <v>0</v>
      </c>
      <c r="N968" s="36">
        <f t="shared" si="211"/>
        <v>80</v>
      </c>
      <c r="O968" s="7">
        <f t="shared" si="216"/>
        <v>0</v>
      </c>
      <c r="P968" s="36">
        <f t="shared" si="207"/>
        <v>80</v>
      </c>
      <c r="Q968" s="7">
        <f t="shared" si="216"/>
        <v>0</v>
      </c>
      <c r="R968" s="36">
        <f t="shared" si="205"/>
        <v>80</v>
      </c>
    </row>
    <row r="969" spans="1:18" ht="33">
      <c r="A969" s="62" t="str">
        <f ca="1">IF(ISERROR(MATCH(E969,Код_КВР,0)),"",INDIRECT(ADDRESS(MATCH(E969,Код_КВР,0)+1,2,,,"КВР")))</f>
        <v xml:space="preserve">Прочая закупка товаров, работ и услуг для обеспечения муниципальных нужд         </v>
      </c>
      <c r="B969" s="46" t="s">
        <v>54</v>
      </c>
      <c r="C969" s="8" t="s">
        <v>224</v>
      </c>
      <c r="D969" s="8" t="s">
        <v>204</v>
      </c>
      <c r="E969" s="115">
        <v>244</v>
      </c>
      <c r="F969" s="7">
        <f>'прил.5'!G469</f>
        <v>80</v>
      </c>
      <c r="G969" s="7">
        <f>'прил.5'!H469</f>
        <v>0</v>
      </c>
      <c r="H969" s="36">
        <f t="shared" si="214"/>
        <v>80</v>
      </c>
      <c r="I969" s="7">
        <f>'прил.5'!J469</f>
        <v>0</v>
      </c>
      <c r="J969" s="36">
        <f t="shared" si="212"/>
        <v>80</v>
      </c>
      <c r="K969" s="7">
        <f>'прил.5'!L469</f>
        <v>0</v>
      </c>
      <c r="L969" s="36">
        <f t="shared" si="210"/>
        <v>80</v>
      </c>
      <c r="M969" s="7">
        <f>'прил.5'!N469</f>
        <v>0</v>
      </c>
      <c r="N969" s="36">
        <f t="shared" si="211"/>
        <v>80</v>
      </c>
      <c r="O969" s="7">
        <f>'прил.5'!P469</f>
        <v>0</v>
      </c>
      <c r="P969" s="36">
        <f t="shared" si="207"/>
        <v>80</v>
      </c>
      <c r="Q969" s="7">
        <f>'прил.5'!R469</f>
        <v>0</v>
      </c>
      <c r="R969" s="36">
        <f t="shared" si="205"/>
        <v>80</v>
      </c>
    </row>
    <row r="970" spans="1:18" ht="49.5">
      <c r="A970" s="62" t="str">
        <f ca="1">IF(ISERROR(MATCH(B970,Код_КЦСР,0)),"",INDIRECT(ADDRESS(MATCH(B970,Код_КЦСР,0)+1,2,,,"КЦСР")))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970" s="46" t="s">
        <v>439</v>
      </c>
      <c r="C970" s="8"/>
      <c r="D970" s="1"/>
      <c r="E970" s="115"/>
      <c r="F970" s="7">
        <f aca="true" t="shared" si="217" ref="F970:Q974">F971</f>
        <v>227763</v>
      </c>
      <c r="G970" s="7">
        <f t="shared" si="217"/>
        <v>0</v>
      </c>
      <c r="H970" s="36">
        <f t="shared" si="214"/>
        <v>227763</v>
      </c>
      <c r="I970" s="7">
        <f t="shared" si="217"/>
        <v>0</v>
      </c>
      <c r="J970" s="36">
        <f t="shared" si="212"/>
        <v>227763</v>
      </c>
      <c r="K970" s="7">
        <f t="shared" si="217"/>
        <v>0</v>
      </c>
      <c r="L970" s="36">
        <f t="shared" si="210"/>
        <v>227763</v>
      </c>
      <c r="M970" s="7">
        <f t="shared" si="217"/>
        <v>0</v>
      </c>
      <c r="N970" s="36">
        <f t="shared" si="211"/>
        <v>227763</v>
      </c>
      <c r="O970" s="7">
        <f t="shared" si="217"/>
        <v>0</v>
      </c>
      <c r="P970" s="36">
        <f t="shared" si="207"/>
        <v>227763</v>
      </c>
      <c r="Q970" s="7">
        <f t="shared" si="217"/>
        <v>0</v>
      </c>
      <c r="R970" s="36">
        <f t="shared" si="205"/>
        <v>227763</v>
      </c>
    </row>
    <row r="971" spans="1:18" ht="12.75">
      <c r="A971" s="62" t="str">
        <f ca="1">IF(ISERROR(MATCH(C971,Код_Раздел,0)),"",INDIRECT(ADDRESS(MATCH(C971,Код_Раздел,0)+1,2,,,"Раздел")))</f>
        <v>Национальная экономика</v>
      </c>
      <c r="B971" s="46" t="s">
        <v>439</v>
      </c>
      <c r="C971" s="8" t="s">
        <v>224</v>
      </c>
      <c r="D971" s="1"/>
      <c r="E971" s="115"/>
      <c r="F971" s="7">
        <f t="shared" si="217"/>
        <v>227763</v>
      </c>
      <c r="G971" s="7">
        <f t="shared" si="217"/>
        <v>0</v>
      </c>
      <c r="H971" s="36">
        <f t="shared" si="214"/>
        <v>227763</v>
      </c>
      <c r="I971" s="7">
        <f t="shared" si="217"/>
        <v>0</v>
      </c>
      <c r="J971" s="36">
        <f t="shared" si="212"/>
        <v>227763</v>
      </c>
      <c r="K971" s="7">
        <f t="shared" si="217"/>
        <v>0</v>
      </c>
      <c r="L971" s="36">
        <f t="shared" si="210"/>
        <v>227763</v>
      </c>
      <c r="M971" s="7">
        <f t="shared" si="217"/>
        <v>0</v>
      </c>
      <c r="N971" s="36">
        <f t="shared" si="211"/>
        <v>227763</v>
      </c>
      <c r="O971" s="7">
        <f t="shared" si="217"/>
        <v>0</v>
      </c>
      <c r="P971" s="36">
        <f t="shared" si="207"/>
        <v>227763</v>
      </c>
      <c r="Q971" s="7">
        <f t="shared" si="217"/>
        <v>0</v>
      </c>
      <c r="R971" s="36">
        <f t="shared" si="205"/>
        <v>227763</v>
      </c>
    </row>
    <row r="972" spans="1:18" ht="12.75">
      <c r="A972" s="79" t="s">
        <v>188</v>
      </c>
      <c r="B972" s="46" t="s">
        <v>439</v>
      </c>
      <c r="C972" s="8" t="s">
        <v>224</v>
      </c>
      <c r="D972" s="1" t="s">
        <v>227</v>
      </c>
      <c r="E972" s="115"/>
      <c r="F972" s="7">
        <f t="shared" si="217"/>
        <v>227763</v>
      </c>
      <c r="G972" s="7">
        <f t="shared" si="217"/>
        <v>0</v>
      </c>
      <c r="H972" s="36">
        <f t="shared" si="214"/>
        <v>227763</v>
      </c>
      <c r="I972" s="7">
        <f t="shared" si="217"/>
        <v>0</v>
      </c>
      <c r="J972" s="36">
        <f t="shared" si="212"/>
        <v>227763</v>
      </c>
      <c r="K972" s="7">
        <f t="shared" si="217"/>
        <v>0</v>
      </c>
      <c r="L972" s="36">
        <f t="shared" si="210"/>
        <v>227763</v>
      </c>
      <c r="M972" s="7">
        <f t="shared" si="217"/>
        <v>0</v>
      </c>
      <c r="N972" s="36">
        <f t="shared" si="211"/>
        <v>227763</v>
      </c>
      <c r="O972" s="7">
        <f t="shared" si="217"/>
        <v>0</v>
      </c>
      <c r="P972" s="36">
        <f t="shared" si="207"/>
        <v>227763</v>
      </c>
      <c r="Q972" s="7">
        <f t="shared" si="217"/>
        <v>0</v>
      </c>
      <c r="R972" s="36">
        <f t="shared" si="205"/>
        <v>227763</v>
      </c>
    </row>
    <row r="973" spans="1:18" ht="12.75">
      <c r="A973" s="62" t="str">
        <f ca="1">IF(ISERROR(MATCH(E973,Код_КВР,0)),"",INDIRECT(ADDRESS(MATCH(E973,Код_КВР,0)+1,2,,,"КВР")))</f>
        <v>Закупка товаров, работ и услуг для муниципальных нужд</v>
      </c>
      <c r="B973" s="46" t="s">
        <v>439</v>
      </c>
      <c r="C973" s="8" t="s">
        <v>224</v>
      </c>
      <c r="D973" s="1" t="s">
        <v>227</v>
      </c>
      <c r="E973" s="115">
        <v>200</v>
      </c>
      <c r="F973" s="7">
        <f t="shared" si="217"/>
        <v>227763</v>
      </c>
      <c r="G973" s="7">
        <f t="shared" si="217"/>
        <v>0</v>
      </c>
      <c r="H973" s="36">
        <f t="shared" si="214"/>
        <v>227763</v>
      </c>
      <c r="I973" s="7">
        <f t="shared" si="217"/>
        <v>0</v>
      </c>
      <c r="J973" s="36">
        <f t="shared" si="212"/>
        <v>227763</v>
      </c>
      <c r="K973" s="7">
        <f t="shared" si="217"/>
        <v>0</v>
      </c>
      <c r="L973" s="36">
        <f t="shared" si="210"/>
        <v>227763</v>
      </c>
      <c r="M973" s="7">
        <f t="shared" si="217"/>
        <v>0</v>
      </c>
      <c r="N973" s="36">
        <f t="shared" si="211"/>
        <v>227763</v>
      </c>
      <c r="O973" s="7">
        <f t="shared" si="217"/>
        <v>0</v>
      </c>
      <c r="P973" s="36">
        <f t="shared" si="207"/>
        <v>227763</v>
      </c>
      <c r="Q973" s="7">
        <f t="shared" si="217"/>
        <v>0</v>
      </c>
      <c r="R973" s="36">
        <f t="shared" si="205"/>
        <v>227763</v>
      </c>
    </row>
    <row r="974" spans="1:18" ht="33">
      <c r="A974" s="62" t="str">
        <f ca="1">IF(ISERROR(MATCH(E974,Код_КВР,0)),"",INDIRECT(ADDRESS(MATCH(E974,Код_КВР,0)+1,2,,,"КВР")))</f>
        <v>Иные закупки товаров, работ и услуг для обеспечения муниципальных нужд</v>
      </c>
      <c r="B974" s="46" t="s">
        <v>439</v>
      </c>
      <c r="C974" s="8" t="s">
        <v>224</v>
      </c>
      <c r="D974" s="1" t="s">
        <v>227</v>
      </c>
      <c r="E974" s="115">
        <v>240</v>
      </c>
      <c r="F974" s="7">
        <f t="shared" si="217"/>
        <v>227763</v>
      </c>
      <c r="G974" s="7">
        <f t="shared" si="217"/>
        <v>0</v>
      </c>
      <c r="H974" s="36">
        <f t="shared" si="214"/>
        <v>227763</v>
      </c>
      <c r="I974" s="7">
        <f t="shared" si="217"/>
        <v>0</v>
      </c>
      <c r="J974" s="36">
        <f t="shared" si="212"/>
        <v>227763</v>
      </c>
      <c r="K974" s="7">
        <f t="shared" si="217"/>
        <v>0</v>
      </c>
      <c r="L974" s="36">
        <f t="shared" si="210"/>
        <v>227763</v>
      </c>
      <c r="M974" s="7">
        <f t="shared" si="217"/>
        <v>0</v>
      </c>
      <c r="N974" s="36">
        <f t="shared" si="211"/>
        <v>227763</v>
      </c>
      <c r="O974" s="7">
        <f t="shared" si="217"/>
        <v>0</v>
      </c>
      <c r="P974" s="36">
        <f t="shared" si="207"/>
        <v>227763</v>
      </c>
      <c r="Q974" s="7">
        <f t="shared" si="217"/>
        <v>0</v>
      </c>
      <c r="R974" s="36">
        <f t="shared" si="205"/>
        <v>227763</v>
      </c>
    </row>
    <row r="975" spans="1:18" ht="33">
      <c r="A975" s="62" t="str">
        <f ca="1">IF(ISERROR(MATCH(E975,Код_КВР,0)),"",INDIRECT(ADDRESS(MATCH(E975,Код_КВР,0)+1,2,,,"КВР")))</f>
        <v xml:space="preserve">Прочая закупка товаров, работ и услуг для обеспечения муниципальных нужд         </v>
      </c>
      <c r="B975" s="46" t="s">
        <v>439</v>
      </c>
      <c r="C975" s="8" t="s">
        <v>224</v>
      </c>
      <c r="D975" s="1" t="s">
        <v>227</v>
      </c>
      <c r="E975" s="115">
        <v>244</v>
      </c>
      <c r="F975" s="7">
        <f>'прил.5'!G448</f>
        <v>227763</v>
      </c>
      <c r="G975" s="7">
        <f>'прил.5'!H448</f>
        <v>0</v>
      </c>
      <c r="H975" s="36">
        <f t="shared" si="214"/>
        <v>227763</v>
      </c>
      <c r="I975" s="7">
        <f>'прил.5'!J448</f>
        <v>0</v>
      </c>
      <c r="J975" s="36">
        <f t="shared" si="212"/>
        <v>227763</v>
      </c>
      <c r="K975" s="7">
        <f>'прил.5'!L448</f>
        <v>0</v>
      </c>
      <c r="L975" s="36">
        <f t="shared" si="210"/>
        <v>227763</v>
      </c>
      <c r="M975" s="7">
        <f>'прил.5'!N448</f>
        <v>0</v>
      </c>
      <c r="N975" s="36">
        <f t="shared" si="211"/>
        <v>227763</v>
      </c>
      <c r="O975" s="7">
        <f>'прил.5'!P448</f>
        <v>0</v>
      </c>
      <c r="P975" s="36">
        <f t="shared" si="207"/>
        <v>227763</v>
      </c>
      <c r="Q975" s="7">
        <f>'прил.5'!R448</f>
        <v>0</v>
      </c>
      <c r="R975" s="36">
        <f aca="true" t="shared" si="218" ref="R975:R1048">P975+Q975</f>
        <v>227763</v>
      </c>
    </row>
    <row r="976" spans="1:18" ht="105.75" customHeight="1">
      <c r="A976" s="62" t="str">
        <f ca="1">IF(ISERROR(MATCH(B976,Код_КЦСР,0)),"",INDIRECT(ADDRESS(MATCH(B976,Код_КЦСР,0)+1,2,,,"КЦСР")))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976" s="115" t="s">
        <v>424</v>
      </c>
      <c r="C976" s="8"/>
      <c r="D976" s="8"/>
      <c r="E976" s="115"/>
      <c r="F976" s="7">
        <f aca="true" t="shared" si="219" ref="F976:Q980">F977</f>
        <v>1957.5</v>
      </c>
      <c r="G976" s="7">
        <f t="shared" si="219"/>
        <v>0</v>
      </c>
      <c r="H976" s="36">
        <f t="shared" si="214"/>
        <v>1957.5</v>
      </c>
      <c r="I976" s="7">
        <f t="shared" si="219"/>
        <v>0</v>
      </c>
      <c r="J976" s="36">
        <f t="shared" si="212"/>
        <v>1957.5</v>
      </c>
      <c r="K976" s="7">
        <f t="shared" si="219"/>
        <v>0</v>
      </c>
      <c r="L976" s="36">
        <f t="shared" si="210"/>
        <v>1957.5</v>
      </c>
      <c r="M976" s="7">
        <f t="shared" si="219"/>
        <v>0</v>
      </c>
      <c r="N976" s="36">
        <f t="shared" si="211"/>
        <v>1957.5</v>
      </c>
      <c r="O976" s="7">
        <f t="shared" si="219"/>
        <v>0</v>
      </c>
      <c r="P976" s="36">
        <f t="shared" si="207"/>
        <v>1957.5</v>
      </c>
      <c r="Q976" s="7">
        <f t="shared" si="219"/>
        <v>0</v>
      </c>
      <c r="R976" s="36">
        <f t="shared" si="218"/>
        <v>1957.5</v>
      </c>
    </row>
    <row r="977" spans="1:18" ht="12.75">
      <c r="A977" s="62" t="str">
        <f ca="1">IF(ISERROR(MATCH(C977,Код_Раздел,0)),"",INDIRECT(ADDRESS(MATCH(C977,Код_Раздел,0)+1,2,,,"Раздел")))</f>
        <v>Здравоохранение</v>
      </c>
      <c r="B977" s="115" t="s">
        <v>424</v>
      </c>
      <c r="C977" s="8" t="s">
        <v>227</v>
      </c>
      <c r="D977" s="8"/>
      <c r="E977" s="115"/>
      <c r="F977" s="7">
        <f t="shared" si="219"/>
        <v>1957.5</v>
      </c>
      <c r="G977" s="7">
        <f t="shared" si="219"/>
        <v>0</v>
      </c>
      <c r="H977" s="36">
        <f t="shared" si="214"/>
        <v>1957.5</v>
      </c>
      <c r="I977" s="7">
        <f t="shared" si="219"/>
        <v>0</v>
      </c>
      <c r="J977" s="36">
        <f t="shared" si="212"/>
        <v>1957.5</v>
      </c>
      <c r="K977" s="7">
        <f t="shared" si="219"/>
        <v>0</v>
      </c>
      <c r="L977" s="36">
        <f t="shared" si="210"/>
        <v>1957.5</v>
      </c>
      <c r="M977" s="7">
        <f t="shared" si="219"/>
        <v>0</v>
      </c>
      <c r="N977" s="36">
        <f t="shared" si="211"/>
        <v>1957.5</v>
      </c>
      <c r="O977" s="7">
        <f t="shared" si="219"/>
        <v>0</v>
      </c>
      <c r="P977" s="36">
        <f t="shared" si="207"/>
        <v>1957.5</v>
      </c>
      <c r="Q977" s="7">
        <f t="shared" si="219"/>
        <v>0</v>
      </c>
      <c r="R977" s="36">
        <f t="shared" si="218"/>
        <v>1957.5</v>
      </c>
    </row>
    <row r="978" spans="1:18" ht="12.75">
      <c r="A978" s="79" t="s">
        <v>273</v>
      </c>
      <c r="B978" s="115" t="s">
        <v>424</v>
      </c>
      <c r="C978" s="8" t="s">
        <v>227</v>
      </c>
      <c r="D978" s="8" t="s">
        <v>203</v>
      </c>
      <c r="E978" s="115"/>
      <c r="F978" s="7">
        <f t="shared" si="219"/>
        <v>1957.5</v>
      </c>
      <c r="G978" s="7">
        <f t="shared" si="219"/>
        <v>0</v>
      </c>
      <c r="H978" s="36">
        <f t="shared" si="214"/>
        <v>1957.5</v>
      </c>
      <c r="I978" s="7">
        <f t="shared" si="219"/>
        <v>0</v>
      </c>
      <c r="J978" s="36">
        <f t="shared" si="212"/>
        <v>1957.5</v>
      </c>
      <c r="K978" s="7">
        <f t="shared" si="219"/>
        <v>0</v>
      </c>
      <c r="L978" s="36">
        <f t="shared" si="210"/>
        <v>1957.5</v>
      </c>
      <c r="M978" s="7">
        <f t="shared" si="219"/>
        <v>0</v>
      </c>
      <c r="N978" s="36">
        <f t="shared" si="211"/>
        <v>1957.5</v>
      </c>
      <c r="O978" s="7">
        <f t="shared" si="219"/>
        <v>0</v>
      </c>
      <c r="P978" s="36">
        <f t="shared" si="207"/>
        <v>1957.5</v>
      </c>
      <c r="Q978" s="7">
        <f t="shared" si="219"/>
        <v>0</v>
      </c>
      <c r="R978" s="36">
        <f t="shared" si="218"/>
        <v>1957.5</v>
      </c>
    </row>
    <row r="979" spans="1:18" ht="12.75">
      <c r="A979" s="62" t="str">
        <f ca="1">IF(ISERROR(MATCH(E979,Код_КВР,0)),"",INDIRECT(ADDRESS(MATCH(E979,Код_КВР,0)+1,2,,,"КВР")))</f>
        <v>Закупка товаров, работ и услуг для муниципальных нужд</v>
      </c>
      <c r="B979" s="115" t="s">
        <v>424</v>
      </c>
      <c r="C979" s="8" t="s">
        <v>227</v>
      </c>
      <c r="D979" s="8" t="s">
        <v>203</v>
      </c>
      <c r="E979" s="115">
        <v>200</v>
      </c>
      <c r="F979" s="7">
        <f t="shared" si="219"/>
        <v>1957.5</v>
      </c>
      <c r="G979" s="7">
        <f t="shared" si="219"/>
        <v>0</v>
      </c>
      <c r="H979" s="36">
        <f t="shared" si="214"/>
        <v>1957.5</v>
      </c>
      <c r="I979" s="7">
        <f t="shared" si="219"/>
        <v>0</v>
      </c>
      <c r="J979" s="36">
        <f t="shared" si="212"/>
        <v>1957.5</v>
      </c>
      <c r="K979" s="7">
        <f t="shared" si="219"/>
        <v>0</v>
      </c>
      <c r="L979" s="36">
        <f t="shared" si="210"/>
        <v>1957.5</v>
      </c>
      <c r="M979" s="7">
        <f t="shared" si="219"/>
        <v>0</v>
      </c>
      <c r="N979" s="36">
        <f t="shared" si="211"/>
        <v>1957.5</v>
      </c>
      <c r="O979" s="7">
        <f t="shared" si="219"/>
        <v>0</v>
      </c>
      <c r="P979" s="36">
        <f t="shared" si="207"/>
        <v>1957.5</v>
      </c>
      <c r="Q979" s="7">
        <f t="shared" si="219"/>
        <v>0</v>
      </c>
      <c r="R979" s="36">
        <f t="shared" si="218"/>
        <v>1957.5</v>
      </c>
    </row>
    <row r="980" spans="1:18" ht="33">
      <c r="A980" s="62" t="str">
        <f ca="1">IF(ISERROR(MATCH(E980,Код_КВР,0)),"",INDIRECT(ADDRESS(MATCH(E980,Код_КВР,0)+1,2,,,"КВР")))</f>
        <v>Иные закупки товаров, работ и услуг для обеспечения муниципальных нужд</v>
      </c>
      <c r="B980" s="115" t="s">
        <v>424</v>
      </c>
      <c r="C980" s="8" t="s">
        <v>227</v>
      </c>
      <c r="D980" s="8" t="s">
        <v>203</v>
      </c>
      <c r="E980" s="115">
        <v>240</v>
      </c>
      <c r="F980" s="7">
        <f t="shared" si="219"/>
        <v>1957.5</v>
      </c>
      <c r="G980" s="7">
        <f t="shared" si="219"/>
        <v>0</v>
      </c>
      <c r="H980" s="36">
        <f t="shared" si="214"/>
        <v>1957.5</v>
      </c>
      <c r="I980" s="7">
        <f t="shared" si="219"/>
        <v>0</v>
      </c>
      <c r="J980" s="36">
        <f t="shared" si="212"/>
        <v>1957.5</v>
      </c>
      <c r="K980" s="7">
        <f t="shared" si="219"/>
        <v>0</v>
      </c>
      <c r="L980" s="36">
        <f t="shared" si="210"/>
        <v>1957.5</v>
      </c>
      <c r="M980" s="7">
        <f t="shared" si="219"/>
        <v>0</v>
      </c>
      <c r="N980" s="36">
        <f t="shared" si="211"/>
        <v>1957.5</v>
      </c>
      <c r="O980" s="7">
        <f t="shared" si="219"/>
        <v>0</v>
      </c>
      <c r="P980" s="36">
        <f t="shared" si="207"/>
        <v>1957.5</v>
      </c>
      <c r="Q980" s="7">
        <f t="shared" si="219"/>
        <v>0</v>
      </c>
      <c r="R980" s="36">
        <f t="shared" si="218"/>
        <v>1957.5</v>
      </c>
    </row>
    <row r="981" spans="1:18" ht="33">
      <c r="A981" s="62" t="str">
        <f ca="1">IF(ISERROR(MATCH(E981,Код_КВР,0)),"",INDIRECT(ADDRESS(MATCH(E981,Код_КВР,0)+1,2,,,"КВР")))</f>
        <v xml:space="preserve">Прочая закупка товаров, работ и услуг для обеспечения муниципальных нужд         </v>
      </c>
      <c r="B981" s="115" t="s">
        <v>424</v>
      </c>
      <c r="C981" s="8" t="s">
        <v>227</v>
      </c>
      <c r="D981" s="8" t="s">
        <v>203</v>
      </c>
      <c r="E981" s="115">
        <v>244</v>
      </c>
      <c r="F981" s="7">
        <f>'прил.5'!G532</f>
        <v>1957.5</v>
      </c>
      <c r="G981" s="7">
        <f>'прил.5'!H532</f>
        <v>0</v>
      </c>
      <c r="H981" s="36">
        <f t="shared" si="214"/>
        <v>1957.5</v>
      </c>
      <c r="I981" s="7">
        <f>'прил.5'!J532</f>
        <v>0</v>
      </c>
      <c r="J981" s="36">
        <f t="shared" si="212"/>
        <v>1957.5</v>
      </c>
      <c r="K981" s="7">
        <f>'прил.5'!L532</f>
        <v>0</v>
      </c>
      <c r="L981" s="36">
        <f t="shared" si="210"/>
        <v>1957.5</v>
      </c>
      <c r="M981" s="7">
        <f>'прил.5'!N532</f>
        <v>0</v>
      </c>
      <c r="N981" s="36">
        <f t="shared" si="211"/>
        <v>1957.5</v>
      </c>
      <c r="O981" s="7">
        <f>'прил.5'!P532</f>
        <v>0</v>
      </c>
      <c r="P981" s="36">
        <f t="shared" si="207"/>
        <v>1957.5</v>
      </c>
      <c r="Q981" s="7">
        <f>'прил.5'!R532</f>
        <v>0</v>
      </c>
      <c r="R981" s="36">
        <f t="shared" si="218"/>
        <v>1957.5</v>
      </c>
    </row>
    <row r="982" spans="1:18" ht="12.75">
      <c r="A982" s="62" t="str">
        <f ca="1">IF(ISERROR(MATCH(B982,Код_КЦСР,0)),"",INDIRECT(ADDRESS(MATCH(B982,Код_КЦСР,0)+1,2,,,"КЦСР")))</f>
        <v>Содержание и ремонт жилищного фонда</v>
      </c>
      <c r="B982" s="46" t="s">
        <v>56</v>
      </c>
      <c r="C982" s="8"/>
      <c r="D982" s="1"/>
      <c r="E982" s="115"/>
      <c r="F982" s="7">
        <f>F983+F989</f>
        <v>7680.8</v>
      </c>
      <c r="G982" s="7">
        <f>G983+G989</f>
        <v>0</v>
      </c>
      <c r="H982" s="36">
        <f t="shared" si="214"/>
        <v>7680.8</v>
      </c>
      <c r="I982" s="7">
        <f>I983+I989</f>
        <v>0</v>
      </c>
      <c r="J982" s="36">
        <f t="shared" si="212"/>
        <v>7680.8</v>
      </c>
      <c r="K982" s="7">
        <f>K983+K989</f>
        <v>-238.1</v>
      </c>
      <c r="L982" s="36">
        <f t="shared" si="210"/>
        <v>7442.7</v>
      </c>
      <c r="M982" s="7">
        <f>M983+M989</f>
        <v>0</v>
      </c>
      <c r="N982" s="36">
        <f t="shared" si="211"/>
        <v>7442.7</v>
      </c>
      <c r="O982" s="7">
        <f>O983+O989</f>
        <v>0</v>
      </c>
      <c r="P982" s="36">
        <f t="shared" si="207"/>
        <v>7442.7</v>
      </c>
      <c r="Q982" s="7">
        <f>Q983+Q989+Q995</f>
        <v>8339</v>
      </c>
      <c r="R982" s="36">
        <f t="shared" si="218"/>
        <v>15781.7</v>
      </c>
    </row>
    <row r="983" spans="1:18" ht="12.75">
      <c r="A983" s="62" t="str">
        <f ca="1">IF(ISERROR(MATCH(B983,Код_КЦСР,0)),"",INDIRECT(ADDRESS(MATCH(B983,Код_КЦСР,0)+1,2,,,"КЦСР")))</f>
        <v>Капитальный ремонт жилищного фонда</v>
      </c>
      <c r="B983" s="46" t="s">
        <v>58</v>
      </c>
      <c r="C983" s="8"/>
      <c r="D983" s="1"/>
      <c r="E983" s="115"/>
      <c r="F983" s="7">
        <f aca="true" t="shared" si="220" ref="F983:Q987">F984</f>
        <v>2288.3</v>
      </c>
      <c r="G983" s="7">
        <f t="shared" si="220"/>
        <v>0</v>
      </c>
      <c r="H983" s="36">
        <f t="shared" si="214"/>
        <v>2288.3</v>
      </c>
      <c r="I983" s="7">
        <f t="shared" si="220"/>
        <v>0</v>
      </c>
      <c r="J983" s="36">
        <f t="shared" si="212"/>
        <v>2288.3</v>
      </c>
      <c r="K983" s="7">
        <f t="shared" si="220"/>
        <v>0</v>
      </c>
      <c r="L983" s="36">
        <f t="shared" si="210"/>
        <v>2288.3</v>
      </c>
      <c r="M983" s="7">
        <f t="shared" si="220"/>
        <v>0</v>
      </c>
      <c r="N983" s="36">
        <f t="shared" si="211"/>
        <v>2288.3</v>
      </c>
      <c r="O983" s="7">
        <f t="shared" si="220"/>
        <v>0</v>
      </c>
      <c r="P983" s="36">
        <f aca="true" t="shared" si="221" ref="P983:P1061">N983+O983</f>
        <v>2288.3</v>
      </c>
      <c r="Q983" s="7">
        <f t="shared" si="220"/>
        <v>0</v>
      </c>
      <c r="R983" s="36">
        <f t="shared" si="218"/>
        <v>2288.3</v>
      </c>
    </row>
    <row r="984" spans="1:18" ht="12.75">
      <c r="A984" s="62" t="str">
        <f ca="1">IF(ISERROR(MATCH(C984,Код_Раздел,0)),"",INDIRECT(ADDRESS(MATCH(C984,Код_Раздел,0)+1,2,,,"Раздел")))</f>
        <v>Жилищно-коммунальное хозяйство</v>
      </c>
      <c r="B984" s="46" t="s">
        <v>58</v>
      </c>
      <c r="C984" s="8" t="s">
        <v>229</v>
      </c>
      <c r="D984" s="1"/>
      <c r="E984" s="115"/>
      <c r="F984" s="7">
        <f t="shared" si="220"/>
        <v>2288.3</v>
      </c>
      <c r="G984" s="7">
        <f t="shared" si="220"/>
        <v>0</v>
      </c>
      <c r="H984" s="36">
        <f t="shared" si="214"/>
        <v>2288.3</v>
      </c>
      <c r="I984" s="7">
        <f t="shared" si="220"/>
        <v>0</v>
      </c>
      <c r="J984" s="36">
        <f t="shared" si="212"/>
        <v>2288.3</v>
      </c>
      <c r="K984" s="7">
        <f t="shared" si="220"/>
        <v>0</v>
      </c>
      <c r="L984" s="36">
        <f t="shared" si="210"/>
        <v>2288.3</v>
      </c>
      <c r="M984" s="7">
        <f t="shared" si="220"/>
        <v>0</v>
      </c>
      <c r="N984" s="36">
        <f t="shared" si="211"/>
        <v>2288.3</v>
      </c>
      <c r="O984" s="7">
        <f t="shared" si="220"/>
        <v>0</v>
      </c>
      <c r="P984" s="36">
        <f t="shared" si="221"/>
        <v>2288.3</v>
      </c>
      <c r="Q984" s="7">
        <f t="shared" si="220"/>
        <v>0</v>
      </c>
      <c r="R984" s="36">
        <f t="shared" si="218"/>
        <v>2288.3</v>
      </c>
    </row>
    <row r="985" spans="1:18" ht="12.75">
      <c r="A985" s="12" t="s">
        <v>234</v>
      </c>
      <c r="B985" s="46" t="s">
        <v>58</v>
      </c>
      <c r="C985" s="8" t="s">
        <v>229</v>
      </c>
      <c r="D985" s="8" t="s">
        <v>221</v>
      </c>
      <c r="E985" s="115"/>
      <c r="F985" s="7">
        <f t="shared" si="220"/>
        <v>2288.3</v>
      </c>
      <c r="G985" s="7">
        <f t="shared" si="220"/>
        <v>0</v>
      </c>
      <c r="H985" s="36">
        <f t="shared" si="214"/>
        <v>2288.3</v>
      </c>
      <c r="I985" s="7">
        <f t="shared" si="220"/>
        <v>0</v>
      </c>
      <c r="J985" s="36">
        <f t="shared" si="212"/>
        <v>2288.3</v>
      </c>
      <c r="K985" s="7">
        <f t="shared" si="220"/>
        <v>0</v>
      </c>
      <c r="L985" s="36">
        <f t="shared" si="210"/>
        <v>2288.3</v>
      </c>
      <c r="M985" s="7">
        <f t="shared" si="220"/>
        <v>0</v>
      </c>
      <c r="N985" s="36">
        <f t="shared" si="211"/>
        <v>2288.3</v>
      </c>
      <c r="O985" s="7">
        <f t="shared" si="220"/>
        <v>0</v>
      </c>
      <c r="P985" s="36">
        <f t="shared" si="221"/>
        <v>2288.3</v>
      </c>
      <c r="Q985" s="7">
        <f t="shared" si="220"/>
        <v>0</v>
      </c>
      <c r="R985" s="36">
        <f t="shared" si="218"/>
        <v>2288.3</v>
      </c>
    </row>
    <row r="986" spans="1:18" ht="12.75">
      <c r="A986" s="62" t="str">
        <f ca="1">IF(ISERROR(MATCH(E986,Код_КВР,0)),"",INDIRECT(ADDRESS(MATCH(E986,Код_КВР,0)+1,2,,,"КВР")))</f>
        <v>Закупка товаров, работ и услуг для муниципальных нужд</v>
      </c>
      <c r="B986" s="46" t="s">
        <v>58</v>
      </c>
      <c r="C986" s="8" t="s">
        <v>229</v>
      </c>
      <c r="D986" s="8" t="s">
        <v>221</v>
      </c>
      <c r="E986" s="115">
        <v>200</v>
      </c>
      <c r="F986" s="7">
        <f t="shared" si="220"/>
        <v>2288.3</v>
      </c>
      <c r="G986" s="7">
        <f t="shared" si="220"/>
        <v>0</v>
      </c>
      <c r="H986" s="36">
        <f t="shared" si="214"/>
        <v>2288.3</v>
      </c>
      <c r="I986" s="7">
        <f t="shared" si="220"/>
        <v>0</v>
      </c>
      <c r="J986" s="36">
        <f t="shared" si="212"/>
        <v>2288.3</v>
      </c>
      <c r="K986" s="7">
        <f t="shared" si="220"/>
        <v>0</v>
      </c>
      <c r="L986" s="36">
        <f t="shared" si="210"/>
        <v>2288.3</v>
      </c>
      <c r="M986" s="7">
        <f t="shared" si="220"/>
        <v>0</v>
      </c>
      <c r="N986" s="36">
        <f t="shared" si="211"/>
        <v>2288.3</v>
      </c>
      <c r="O986" s="7">
        <f t="shared" si="220"/>
        <v>0</v>
      </c>
      <c r="P986" s="36">
        <f t="shared" si="221"/>
        <v>2288.3</v>
      </c>
      <c r="Q986" s="7">
        <f t="shared" si="220"/>
        <v>0</v>
      </c>
      <c r="R986" s="36">
        <f t="shared" si="218"/>
        <v>2288.3</v>
      </c>
    </row>
    <row r="987" spans="1:18" ht="33">
      <c r="A987" s="62" t="str">
        <f ca="1">IF(ISERROR(MATCH(E987,Код_КВР,0)),"",INDIRECT(ADDRESS(MATCH(E987,Код_КВР,0)+1,2,,,"КВР")))</f>
        <v>Иные закупки товаров, работ и услуг для обеспечения муниципальных нужд</v>
      </c>
      <c r="B987" s="46" t="s">
        <v>58</v>
      </c>
      <c r="C987" s="8" t="s">
        <v>229</v>
      </c>
      <c r="D987" s="8" t="s">
        <v>221</v>
      </c>
      <c r="E987" s="115">
        <v>240</v>
      </c>
      <c r="F987" s="7">
        <f t="shared" si="220"/>
        <v>2288.3</v>
      </c>
      <c r="G987" s="7">
        <f t="shared" si="220"/>
        <v>0</v>
      </c>
      <c r="H987" s="36">
        <f t="shared" si="214"/>
        <v>2288.3</v>
      </c>
      <c r="I987" s="7">
        <f t="shared" si="220"/>
        <v>0</v>
      </c>
      <c r="J987" s="36">
        <f t="shared" si="212"/>
        <v>2288.3</v>
      </c>
      <c r="K987" s="7">
        <f t="shared" si="220"/>
        <v>0</v>
      </c>
      <c r="L987" s="36">
        <f t="shared" si="210"/>
        <v>2288.3</v>
      </c>
      <c r="M987" s="7">
        <f t="shared" si="220"/>
        <v>0</v>
      </c>
      <c r="N987" s="36">
        <f t="shared" si="211"/>
        <v>2288.3</v>
      </c>
      <c r="O987" s="7">
        <f t="shared" si="220"/>
        <v>0</v>
      </c>
      <c r="P987" s="36">
        <f t="shared" si="221"/>
        <v>2288.3</v>
      </c>
      <c r="Q987" s="7">
        <f t="shared" si="220"/>
        <v>0</v>
      </c>
      <c r="R987" s="36">
        <f t="shared" si="218"/>
        <v>2288.3</v>
      </c>
    </row>
    <row r="988" spans="1:18" ht="33">
      <c r="A988" s="62" t="str">
        <f ca="1">IF(ISERROR(MATCH(E988,Код_КВР,0)),"",INDIRECT(ADDRESS(MATCH(E988,Код_КВР,0)+1,2,,,"КВР")))</f>
        <v xml:space="preserve">Прочая закупка товаров, работ и услуг для обеспечения муниципальных нужд         </v>
      </c>
      <c r="B988" s="46" t="s">
        <v>58</v>
      </c>
      <c r="C988" s="8" t="s">
        <v>229</v>
      </c>
      <c r="D988" s="8" t="s">
        <v>221</v>
      </c>
      <c r="E988" s="115">
        <v>244</v>
      </c>
      <c r="F988" s="7">
        <f>'прил.5'!G483</f>
        <v>2288.3</v>
      </c>
      <c r="G988" s="7">
        <f>'прил.5'!H483</f>
        <v>0</v>
      </c>
      <c r="H988" s="36">
        <f t="shared" si="214"/>
        <v>2288.3</v>
      </c>
      <c r="I988" s="7">
        <f>'прил.5'!J483</f>
        <v>0</v>
      </c>
      <c r="J988" s="36">
        <f t="shared" si="212"/>
        <v>2288.3</v>
      </c>
      <c r="K988" s="7">
        <f>'прил.5'!L483</f>
        <v>0</v>
      </c>
      <c r="L988" s="36">
        <f t="shared" si="210"/>
        <v>2288.3</v>
      </c>
      <c r="M988" s="7">
        <f>'прил.5'!N483</f>
        <v>0</v>
      </c>
      <c r="N988" s="36">
        <f t="shared" si="211"/>
        <v>2288.3</v>
      </c>
      <c r="O988" s="7">
        <f>'прил.5'!P483</f>
        <v>0</v>
      </c>
      <c r="P988" s="36">
        <f t="shared" si="221"/>
        <v>2288.3</v>
      </c>
      <c r="Q988" s="7">
        <f>'прил.5'!R483</f>
        <v>0</v>
      </c>
      <c r="R988" s="36">
        <f t="shared" si="218"/>
        <v>2288.3</v>
      </c>
    </row>
    <row r="989" spans="1:18" ht="33">
      <c r="A989" s="62" t="str">
        <f ca="1">IF(ISERROR(MATCH(B989,Код_КЦСР,0)),"",INDIRECT(ADDRESS(MATCH(B989,Код_КЦСР,0)+1,2,,,"КЦСР")))</f>
        <v>Содержание и ремонт временно незаселенных жилых помещений муниципального жилищного фонда</v>
      </c>
      <c r="B989" s="46" t="s">
        <v>60</v>
      </c>
      <c r="C989" s="8"/>
      <c r="D989" s="8"/>
      <c r="E989" s="115"/>
      <c r="F989" s="7">
        <f aca="true" t="shared" si="222" ref="F989:Q993">F990</f>
        <v>5392.5</v>
      </c>
      <c r="G989" s="7">
        <f t="shared" si="222"/>
        <v>0</v>
      </c>
      <c r="H989" s="36">
        <f t="shared" si="214"/>
        <v>5392.5</v>
      </c>
      <c r="I989" s="7">
        <f t="shared" si="222"/>
        <v>0</v>
      </c>
      <c r="J989" s="36">
        <f t="shared" si="212"/>
        <v>5392.5</v>
      </c>
      <c r="K989" s="7">
        <f t="shared" si="222"/>
        <v>-238.1</v>
      </c>
      <c r="L989" s="36">
        <f t="shared" si="210"/>
        <v>5154.4</v>
      </c>
      <c r="M989" s="7">
        <f t="shared" si="222"/>
        <v>0</v>
      </c>
      <c r="N989" s="36">
        <f t="shared" si="211"/>
        <v>5154.4</v>
      </c>
      <c r="O989" s="7">
        <f t="shared" si="222"/>
        <v>0</v>
      </c>
      <c r="P989" s="36">
        <f t="shared" si="221"/>
        <v>5154.4</v>
      </c>
      <c r="Q989" s="7">
        <f t="shared" si="222"/>
        <v>-180.39999999999998</v>
      </c>
      <c r="R989" s="36">
        <f t="shared" si="218"/>
        <v>4974</v>
      </c>
    </row>
    <row r="990" spans="1:18" ht="12.75">
      <c r="A990" s="62" t="str">
        <f ca="1">IF(ISERROR(MATCH(C990,Код_Раздел,0)),"",INDIRECT(ADDRESS(MATCH(C990,Код_Раздел,0)+1,2,,,"Раздел")))</f>
        <v>Жилищно-коммунальное хозяйство</v>
      </c>
      <c r="B990" s="46" t="s">
        <v>60</v>
      </c>
      <c r="C990" s="8" t="s">
        <v>229</v>
      </c>
      <c r="D990" s="1"/>
      <c r="E990" s="115"/>
      <c r="F990" s="7">
        <f t="shared" si="222"/>
        <v>5392.5</v>
      </c>
      <c r="G990" s="7">
        <f t="shared" si="222"/>
        <v>0</v>
      </c>
      <c r="H990" s="36">
        <f t="shared" si="214"/>
        <v>5392.5</v>
      </c>
      <c r="I990" s="7">
        <f t="shared" si="222"/>
        <v>0</v>
      </c>
      <c r="J990" s="36">
        <f t="shared" si="212"/>
        <v>5392.5</v>
      </c>
      <c r="K990" s="7">
        <f t="shared" si="222"/>
        <v>-238.1</v>
      </c>
      <c r="L990" s="36">
        <f t="shared" si="210"/>
        <v>5154.4</v>
      </c>
      <c r="M990" s="7">
        <f t="shared" si="222"/>
        <v>0</v>
      </c>
      <c r="N990" s="36">
        <f t="shared" si="211"/>
        <v>5154.4</v>
      </c>
      <c r="O990" s="7">
        <f t="shared" si="222"/>
        <v>0</v>
      </c>
      <c r="P990" s="36">
        <f t="shared" si="221"/>
        <v>5154.4</v>
      </c>
      <c r="Q990" s="7">
        <f t="shared" si="222"/>
        <v>-180.39999999999998</v>
      </c>
      <c r="R990" s="36">
        <f t="shared" si="218"/>
        <v>4974</v>
      </c>
    </row>
    <row r="991" spans="1:18" ht="12.75">
      <c r="A991" s="12" t="s">
        <v>234</v>
      </c>
      <c r="B991" s="46" t="s">
        <v>60</v>
      </c>
      <c r="C991" s="8" t="s">
        <v>229</v>
      </c>
      <c r="D991" s="8" t="s">
        <v>221</v>
      </c>
      <c r="E991" s="115"/>
      <c r="F991" s="7">
        <f t="shared" si="222"/>
        <v>5392.5</v>
      </c>
      <c r="G991" s="7">
        <f t="shared" si="222"/>
        <v>0</v>
      </c>
      <c r="H991" s="36">
        <f t="shared" si="214"/>
        <v>5392.5</v>
      </c>
      <c r="I991" s="7">
        <f t="shared" si="222"/>
        <v>0</v>
      </c>
      <c r="J991" s="36">
        <f t="shared" si="212"/>
        <v>5392.5</v>
      </c>
      <c r="K991" s="7">
        <f t="shared" si="222"/>
        <v>-238.1</v>
      </c>
      <c r="L991" s="36">
        <f t="shared" si="210"/>
        <v>5154.4</v>
      </c>
      <c r="M991" s="7">
        <f t="shared" si="222"/>
        <v>0</v>
      </c>
      <c r="N991" s="36">
        <f t="shared" si="211"/>
        <v>5154.4</v>
      </c>
      <c r="O991" s="7">
        <f t="shared" si="222"/>
        <v>0</v>
      </c>
      <c r="P991" s="36">
        <f t="shared" si="221"/>
        <v>5154.4</v>
      </c>
      <c r="Q991" s="7">
        <f t="shared" si="222"/>
        <v>-180.39999999999998</v>
      </c>
      <c r="R991" s="36">
        <f t="shared" si="218"/>
        <v>4974</v>
      </c>
    </row>
    <row r="992" spans="1:18" ht="12.75">
      <c r="A992" s="62" t="str">
        <f ca="1">IF(ISERROR(MATCH(E992,Код_КВР,0)),"",INDIRECT(ADDRESS(MATCH(E992,Код_КВР,0)+1,2,,,"КВР")))</f>
        <v>Закупка товаров, работ и услуг для муниципальных нужд</v>
      </c>
      <c r="B992" s="46" t="s">
        <v>60</v>
      </c>
      <c r="C992" s="8" t="s">
        <v>229</v>
      </c>
      <c r="D992" s="8" t="s">
        <v>221</v>
      </c>
      <c r="E992" s="115">
        <v>200</v>
      </c>
      <c r="F992" s="7">
        <f t="shared" si="222"/>
        <v>5392.5</v>
      </c>
      <c r="G992" s="7">
        <f t="shared" si="222"/>
        <v>0</v>
      </c>
      <c r="H992" s="36">
        <f t="shared" si="214"/>
        <v>5392.5</v>
      </c>
      <c r="I992" s="7">
        <f t="shared" si="222"/>
        <v>0</v>
      </c>
      <c r="J992" s="36">
        <f t="shared" si="212"/>
        <v>5392.5</v>
      </c>
      <c r="K992" s="7">
        <f t="shared" si="222"/>
        <v>-238.1</v>
      </c>
      <c r="L992" s="36">
        <f t="shared" si="210"/>
        <v>5154.4</v>
      </c>
      <c r="M992" s="7">
        <f t="shared" si="222"/>
        <v>0</v>
      </c>
      <c r="N992" s="36">
        <f t="shared" si="211"/>
        <v>5154.4</v>
      </c>
      <c r="O992" s="7">
        <f t="shared" si="222"/>
        <v>0</v>
      </c>
      <c r="P992" s="36">
        <f t="shared" si="221"/>
        <v>5154.4</v>
      </c>
      <c r="Q992" s="7">
        <f t="shared" si="222"/>
        <v>-180.39999999999998</v>
      </c>
      <c r="R992" s="36">
        <f t="shared" si="218"/>
        <v>4974</v>
      </c>
    </row>
    <row r="993" spans="1:18" ht="33">
      <c r="A993" s="62" t="str">
        <f ca="1">IF(ISERROR(MATCH(E993,Код_КВР,0)),"",INDIRECT(ADDRESS(MATCH(E993,Код_КВР,0)+1,2,,,"КВР")))</f>
        <v>Иные закупки товаров, работ и услуг для обеспечения муниципальных нужд</v>
      </c>
      <c r="B993" s="46" t="s">
        <v>60</v>
      </c>
      <c r="C993" s="8" t="s">
        <v>229</v>
      </c>
      <c r="D993" s="8" t="s">
        <v>221</v>
      </c>
      <c r="E993" s="115">
        <v>240</v>
      </c>
      <c r="F993" s="7">
        <f t="shared" si="222"/>
        <v>5392.5</v>
      </c>
      <c r="G993" s="7">
        <f t="shared" si="222"/>
        <v>0</v>
      </c>
      <c r="H993" s="36">
        <f t="shared" si="214"/>
        <v>5392.5</v>
      </c>
      <c r="I993" s="7">
        <f t="shared" si="222"/>
        <v>0</v>
      </c>
      <c r="J993" s="36">
        <f t="shared" si="212"/>
        <v>5392.5</v>
      </c>
      <c r="K993" s="7">
        <f t="shared" si="222"/>
        <v>-238.1</v>
      </c>
      <c r="L993" s="36">
        <f t="shared" si="210"/>
        <v>5154.4</v>
      </c>
      <c r="M993" s="7">
        <f t="shared" si="222"/>
        <v>0</v>
      </c>
      <c r="N993" s="36">
        <f t="shared" si="211"/>
        <v>5154.4</v>
      </c>
      <c r="O993" s="7">
        <f t="shared" si="222"/>
        <v>0</v>
      </c>
      <c r="P993" s="36">
        <f t="shared" si="221"/>
        <v>5154.4</v>
      </c>
      <c r="Q993" s="7">
        <f t="shared" si="222"/>
        <v>-180.39999999999998</v>
      </c>
      <c r="R993" s="36">
        <f t="shared" si="218"/>
        <v>4974</v>
      </c>
    </row>
    <row r="994" spans="1:18" ht="33">
      <c r="A994" s="62" t="str">
        <f ca="1">IF(ISERROR(MATCH(E994,Код_КВР,0)),"",INDIRECT(ADDRESS(MATCH(E994,Код_КВР,0)+1,2,,,"КВР")))</f>
        <v xml:space="preserve">Прочая закупка товаров, работ и услуг для обеспечения муниципальных нужд         </v>
      </c>
      <c r="B994" s="46" t="s">
        <v>60</v>
      </c>
      <c r="C994" s="8" t="s">
        <v>229</v>
      </c>
      <c r="D994" s="8" t="s">
        <v>221</v>
      </c>
      <c r="E994" s="115">
        <v>244</v>
      </c>
      <c r="F994" s="7">
        <f>'прил.5'!G487</f>
        <v>5392.5</v>
      </c>
      <c r="G994" s="7">
        <f>'прил.5'!H487</f>
        <v>0</v>
      </c>
      <c r="H994" s="36">
        <f t="shared" si="214"/>
        <v>5392.5</v>
      </c>
      <c r="I994" s="7">
        <f>'прил.5'!J487</f>
        <v>0</v>
      </c>
      <c r="J994" s="36">
        <f t="shared" si="212"/>
        <v>5392.5</v>
      </c>
      <c r="K994" s="7">
        <f>'прил.5'!L487</f>
        <v>-238.1</v>
      </c>
      <c r="L994" s="36">
        <f t="shared" si="210"/>
        <v>5154.4</v>
      </c>
      <c r="M994" s="7">
        <f>'прил.5'!N487</f>
        <v>0</v>
      </c>
      <c r="N994" s="36">
        <f t="shared" si="211"/>
        <v>5154.4</v>
      </c>
      <c r="O994" s="7">
        <f>'прил.5'!P487</f>
        <v>0</v>
      </c>
      <c r="P994" s="36">
        <f t="shared" si="221"/>
        <v>5154.4</v>
      </c>
      <c r="Q994" s="7">
        <f>'прил.5'!R487</f>
        <v>-180.39999999999998</v>
      </c>
      <c r="R994" s="36">
        <f t="shared" si="218"/>
        <v>4974</v>
      </c>
    </row>
    <row r="995" spans="1:18" ht="59.25" customHeight="1">
      <c r="A995" s="62" t="str">
        <f ca="1">IF(ISERROR(MATCH(B995,Код_КЦСР,0)),"",INDIRECT(ADDRESS(MATCH(B995,Код_КЦСР,0)+1,2,,,"КЦСР")))</f>
        <v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v>
      </c>
      <c r="B995" s="46" t="s">
        <v>673</v>
      </c>
      <c r="C995" s="8"/>
      <c r="D995" s="8"/>
      <c r="E995" s="130"/>
      <c r="F995" s="7"/>
      <c r="G995" s="7"/>
      <c r="H995" s="36"/>
      <c r="I995" s="7"/>
      <c r="J995" s="36"/>
      <c r="K995" s="7"/>
      <c r="L995" s="36"/>
      <c r="M995" s="7"/>
      <c r="N995" s="36"/>
      <c r="O995" s="7"/>
      <c r="P995" s="36"/>
      <c r="Q995" s="7">
        <f>Q996</f>
        <v>8519.4</v>
      </c>
      <c r="R995" s="36">
        <f t="shared" si="218"/>
        <v>8519.4</v>
      </c>
    </row>
    <row r="996" spans="1:18" ht="12.75">
      <c r="A996" s="62" t="str">
        <f ca="1">IF(ISERROR(MATCH(C996,Код_Раздел,0)),"",INDIRECT(ADDRESS(MATCH(C996,Код_Раздел,0)+1,2,,,"Раздел")))</f>
        <v>Жилищно-коммунальное хозяйство</v>
      </c>
      <c r="B996" s="46" t="s">
        <v>673</v>
      </c>
      <c r="C996" s="8" t="s">
        <v>229</v>
      </c>
      <c r="D996" s="1"/>
      <c r="E996" s="130"/>
      <c r="F996" s="7"/>
      <c r="G996" s="7"/>
      <c r="H996" s="36"/>
      <c r="I996" s="7"/>
      <c r="J996" s="36"/>
      <c r="K996" s="7"/>
      <c r="L996" s="36"/>
      <c r="M996" s="7"/>
      <c r="N996" s="36"/>
      <c r="O996" s="7"/>
      <c r="P996" s="36"/>
      <c r="Q996" s="7">
        <f>Q997</f>
        <v>8519.4</v>
      </c>
      <c r="R996" s="36">
        <f t="shared" si="218"/>
        <v>8519.4</v>
      </c>
    </row>
    <row r="997" spans="1:18" ht="12.75">
      <c r="A997" s="12" t="s">
        <v>234</v>
      </c>
      <c r="B997" s="46" t="s">
        <v>673</v>
      </c>
      <c r="C997" s="8" t="s">
        <v>229</v>
      </c>
      <c r="D997" s="8" t="s">
        <v>221</v>
      </c>
      <c r="E997" s="130"/>
      <c r="F997" s="7"/>
      <c r="G997" s="7"/>
      <c r="H997" s="36"/>
      <c r="I997" s="7"/>
      <c r="J997" s="36"/>
      <c r="K997" s="7"/>
      <c r="L997" s="36"/>
      <c r="M997" s="7"/>
      <c r="N997" s="36"/>
      <c r="O997" s="7"/>
      <c r="P997" s="36"/>
      <c r="Q997" s="7">
        <f>Q998</f>
        <v>8519.4</v>
      </c>
      <c r="R997" s="36">
        <f t="shared" si="218"/>
        <v>8519.4</v>
      </c>
    </row>
    <row r="998" spans="1:18" ht="19.5" customHeight="1">
      <c r="A998" s="62" t="str">
        <f ca="1">IF(ISERROR(MATCH(E998,Код_КВР,0)),"",INDIRECT(ADDRESS(MATCH(E998,Код_КВР,0)+1,2,,,"КВР")))</f>
        <v>Закупка товаров, работ и услуг для муниципальных нужд</v>
      </c>
      <c r="B998" s="46" t="s">
        <v>673</v>
      </c>
      <c r="C998" s="8" t="s">
        <v>229</v>
      </c>
      <c r="D998" s="8" t="s">
        <v>221</v>
      </c>
      <c r="E998" s="130">
        <v>200</v>
      </c>
      <c r="F998" s="7"/>
      <c r="G998" s="7"/>
      <c r="H998" s="36"/>
      <c r="I998" s="7"/>
      <c r="J998" s="36"/>
      <c r="K998" s="7"/>
      <c r="L998" s="36"/>
      <c r="M998" s="7"/>
      <c r="N998" s="36"/>
      <c r="O998" s="7"/>
      <c r="P998" s="36"/>
      <c r="Q998" s="7">
        <f>Q999</f>
        <v>8519.4</v>
      </c>
      <c r="R998" s="36">
        <f t="shared" si="218"/>
        <v>8519.4</v>
      </c>
    </row>
    <row r="999" spans="1:18" ht="33">
      <c r="A999" s="62" t="str">
        <f ca="1">IF(ISERROR(MATCH(E999,Код_КВР,0)),"",INDIRECT(ADDRESS(MATCH(E999,Код_КВР,0)+1,2,,,"КВР")))</f>
        <v>Иные закупки товаров, работ и услуг для обеспечения муниципальных нужд</v>
      </c>
      <c r="B999" s="46" t="s">
        <v>673</v>
      </c>
      <c r="C999" s="8" t="s">
        <v>229</v>
      </c>
      <c r="D999" s="8" t="s">
        <v>221</v>
      </c>
      <c r="E999" s="130">
        <v>240</v>
      </c>
      <c r="F999" s="7"/>
      <c r="G999" s="7"/>
      <c r="H999" s="36"/>
      <c r="I999" s="7"/>
      <c r="J999" s="36"/>
      <c r="K999" s="7"/>
      <c r="L999" s="36"/>
      <c r="M999" s="7"/>
      <c r="N999" s="36"/>
      <c r="O999" s="7"/>
      <c r="P999" s="36"/>
      <c r="Q999" s="7">
        <f>Q1000</f>
        <v>8519.4</v>
      </c>
      <c r="R999" s="36">
        <f t="shared" si="218"/>
        <v>8519.4</v>
      </c>
    </row>
    <row r="1000" spans="1:18" ht="33">
      <c r="A1000" s="62" t="str">
        <f ca="1">IF(ISERROR(MATCH(E1000,Код_КВР,0)),"",INDIRECT(ADDRESS(MATCH(E1000,Код_КВР,0)+1,2,,,"КВР")))</f>
        <v xml:space="preserve">Прочая закупка товаров, работ и услуг для обеспечения муниципальных нужд         </v>
      </c>
      <c r="B1000" s="46" t="s">
        <v>673</v>
      </c>
      <c r="C1000" s="8" t="s">
        <v>229</v>
      </c>
      <c r="D1000" s="8" t="s">
        <v>221</v>
      </c>
      <c r="E1000" s="130">
        <v>244</v>
      </c>
      <c r="F1000" s="7"/>
      <c r="G1000" s="7"/>
      <c r="H1000" s="36"/>
      <c r="I1000" s="7"/>
      <c r="J1000" s="36"/>
      <c r="K1000" s="7"/>
      <c r="L1000" s="36"/>
      <c r="M1000" s="7"/>
      <c r="N1000" s="36"/>
      <c r="O1000" s="7"/>
      <c r="P1000" s="36"/>
      <c r="Q1000" s="7">
        <f>'прил.5'!R491</f>
        <v>8519.4</v>
      </c>
      <c r="R1000" s="36">
        <f t="shared" si="218"/>
        <v>8519.4</v>
      </c>
    </row>
    <row r="1001" spans="1:18" ht="33">
      <c r="A1001" s="62" t="str">
        <f ca="1">IF(ISERROR(MATCH(B1001,Код_КЦСР,0)),"",INDIRECT(ADDRESS(MATCH(B1001,Код_КЦСР,0)+1,2,,,"КЦСР")))</f>
        <v>Муниципальная программа «Развитие земельно-имущественного комплекса  города Череповца» на 2014-2018 годы</v>
      </c>
      <c r="B1001" s="46" t="s">
        <v>62</v>
      </c>
      <c r="C1001" s="8"/>
      <c r="D1001" s="1"/>
      <c r="E1001" s="115"/>
      <c r="F1001" s="7">
        <f>F1002+F1013+F1019</f>
        <v>79861.8</v>
      </c>
      <c r="G1001" s="7">
        <f>G1002+G1013+G1019</f>
        <v>0</v>
      </c>
      <c r="H1001" s="36">
        <f t="shared" si="214"/>
        <v>79861.8</v>
      </c>
      <c r="I1001" s="7">
        <f>I1002+I1013+I1019</f>
        <v>-83.69999999999982</v>
      </c>
      <c r="J1001" s="36">
        <f t="shared" si="212"/>
        <v>79778.1</v>
      </c>
      <c r="K1001" s="7">
        <f>K1002+K1013+K1019</f>
        <v>351.79999999999995</v>
      </c>
      <c r="L1001" s="36">
        <f t="shared" si="210"/>
        <v>80129.90000000001</v>
      </c>
      <c r="M1001" s="7">
        <f>M1002+M1013+M1019</f>
        <v>-3001.2</v>
      </c>
      <c r="N1001" s="36">
        <f t="shared" si="211"/>
        <v>77128.70000000001</v>
      </c>
      <c r="O1001" s="7">
        <f>O1002+O1013+O1019</f>
        <v>0</v>
      </c>
      <c r="P1001" s="36">
        <f t="shared" si="221"/>
        <v>77128.70000000001</v>
      </c>
      <c r="Q1001" s="7">
        <f>Q1002+Q1013+Q1019</f>
        <v>-288.9999999999999</v>
      </c>
      <c r="R1001" s="36">
        <f t="shared" si="218"/>
        <v>76839.70000000001</v>
      </c>
    </row>
    <row r="1002" spans="1:18" ht="33">
      <c r="A1002" s="62" t="str">
        <f ca="1">IF(ISERROR(MATCH(B1002,Код_КЦСР,0)),"",INDIRECT(ADDRESS(MATCH(B1002,Код_КЦСР,0)+1,2,,,"КЦСР")))</f>
        <v>Формирование и обеспечение сохранности муниципального земельно-имущественного комплекса</v>
      </c>
      <c r="B1002" s="46" t="s">
        <v>64</v>
      </c>
      <c r="C1002" s="8"/>
      <c r="D1002" s="1"/>
      <c r="E1002" s="115"/>
      <c r="F1002" s="7">
        <f>F1003+F1008</f>
        <v>74338.5</v>
      </c>
      <c r="G1002" s="7">
        <f>G1003+G1008</f>
        <v>0</v>
      </c>
      <c r="H1002" s="36">
        <f t="shared" si="214"/>
        <v>74338.5</v>
      </c>
      <c r="I1002" s="7">
        <f>I1003+I1008</f>
        <v>-83.69999999999982</v>
      </c>
      <c r="J1002" s="36">
        <f t="shared" si="212"/>
        <v>74254.8</v>
      </c>
      <c r="K1002" s="7">
        <f>K1003+K1008</f>
        <v>1130</v>
      </c>
      <c r="L1002" s="36">
        <f t="shared" si="210"/>
        <v>75384.8</v>
      </c>
      <c r="M1002" s="7">
        <f>M1003+M1008</f>
        <v>-2931</v>
      </c>
      <c r="N1002" s="36">
        <f t="shared" si="211"/>
        <v>72453.8</v>
      </c>
      <c r="O1002" s="7">
        <f>O1003+O1008</f>
        <v>0</v>
      </c>
      <c r="P1002" s="36">
        <f t="shared" si="221"/>
        <v>72453.8</v>
      </c>
      <c r="Q1002" s="7">
        <f>Q1003+Q1008</f>
        <v>-338.9</v>
      </c>
      <c r="R1002" s="36">
        <f t="shared" si="218"/>
        <v>72114.90000000001</v>
      </c>
    </row>
    <row r="1003" spans="1:18" ht="12.75">
      <c r="A1003" s="62" t="str">
        <f ca="1">IF(ISERROR(MATCH(C1003,Код_Раздел,0)),"",INDIRECT(ADDRESS(MATCH(C1003,Код_Раздел,0)+1,2,,,"Раздел")))</f>
        <v>Общегосударственные  вопросы</v>
      </c>
      <c r="B1003" s="46" t="s">
        <v>64</v>
      </c>
      <c r="C1003" s="8" t="s">
        <v>221</v>
      </c>
      <c r="D1003" s="1"/>
      <c r="E1003" s="115"/>
      <c r="F1003" s="7">
        <f aca="true" t="shared" si="223" ref="F1003:Q1006">F1004</f>
        <v>10109.5</v>
      </c>
      <c r="G1003" s="7">
        <f t="shared" si="223"/>
        <v>0</v>
      </c>
      <c r="H1003" s="36">
        <f t="shared" si="214"/>
        <v>10109.5</v>
      </c>
      <c r="I1003" s="7">
        <f t="shared" si="223"/>
        <v>-83.69999999999982</v>
      </c>
      <c r="J1003" s="36">
        <f t="shared" si="212"/>
        <v>10025.8</v>
      </c>
      <c r="K1003" s="7">
        <f t="shared" si="223"/>
        <v>1130</v>
      </c>
      <c r="L1003" s="36">
        <f t="shared" si="210"/>
        <v>11155.8</v>
      </c>
      <c r="M1003" s="7">
        <f t="shared" si="223"/>
        <v>-365.3</v>
      </c>
      <c r="N1003" s="36">
        <f t="shared" si="211"/>
        <v>10790.5</v>
      </c>
      <c r="O1003" s="7">
        <f t="shared" si="223"/>
        <v>0</v>
      </c>
      <c r="P1003" s="36">
        <f t="shared" si="221"/>
        <v>10790.5</v>
      </c>
      <c r="Q1003" s="7">
        <f t="shared" si="223"/>
        <v>-289</v>
      </c>
      <c r="R1003" s="36">
        <f t="shared" si="218"/>
        <v>10501.5</v>
      </c>
    </row>
    <row r="1004" spans="1:18" ht="12.75">
      <c r="A1004" s="12" t="s">
        <v>245</v>
      </c>
      <c r="B1004" s="46" t="s">
        <v>64</v>
      </c>
      <c r="C1004" s="8" t="s">
        <v>221</v>
      </c>
      <c r="D1004" s="1" t="s">
        <v>198</v>
      </c>
      <c r="E1004" s="115"/>
      <c r="F1004" s="7">
        <f t="shared" si="223"/>
        <v>10109.5</v>
      </c>
      <c r="G1004" s="7">
        <f t="shared" si="223"/>
        <v>0</v>
      </c>
      <c r="H1004" s="36">
        <f t="shared" si="214"/>
        <v>10109.5</v>
      </c>
      <c r="I1004" s="7">
        <f t="shared" si="223"/>
        <v>-83.69999999999982</v>
      </c>
      <c r="J1004" s="36">
        <f t="shared" si="212"/>
        <v>10025.8</v>
      </c>
      <c r="K1004" s="7">
        <f t="shared" si="223"/>
        <v>1130</v>
      </c>
      <c r="L1004" s="36">
        <f aca="true" t="shared" si="224" ref="L1004:L1080">J1004+K1004</f>
        <v>11155.8</v>
      </c>
      <c r="M1004" s="7">
        <f t="shared" si="223"/>
        <v>-365.3</v>
      </c>
      <c r="N1004" s="36">
        <f aca="true" t="shared" si="225" ref="N1004:N1080">L1004+M1004</f>
        <v>10790.5</v>
      </c>
      <c r="O1004" s="7">
        <f t="shared" si="223"/>
        <v>0</v>
      </c>
      <c r="P1004" s="36">
        <f t="shared" si="221"/>
        <v>10790.5</v>
      </c>
      <c r="Q1004" s="7">
        <f t="shared" si="223"/>
        <v>-289</v>
      </c>
      <c r="R1004" s="36">
        <f t="shared" si="218"/>
        <v>10501.5</v>
      </c>
    </row>
    <row r="1005" spans="1:18" ht="12.75">
      <c r="A1005" s="62" t="str">
        <f ca="1">IF(ISERROR(MATCH(E1005,Код_КВР,0)),"",INDIRECT(ADDRESS(MATCH(E1005,Код_КВР,0)+1,2,,,"КВР")))</f>
        <v>Закупка товаров, работ и услуг для муниципальных нужд</v>
      </c>
      <c r="B1005" s="46" t="s">
        <v>64</v>
      </c>
      <c r="C1005" s="8" t="s">
        <v>221</v>
      </c>
      <c r="D1005" s="1" t="s">
        <v>198</v>
      </c>
      <c r="E1005" s="115">
        <v>200</v>
      </c>
      <c r="F1005" s="7">
        <f t="shared" si="223"/>
        <v>10109.5</v>
      </c>
      <c r="G1005" s="7">
        <f t="shared" si="223"/>
        <v>0</v>
      </c>
      <c r="H1005" s="36">
        <f t="shared" si="214"/>
        <v>10109.5</v>
      </c>
      <c r="I1005" s="7">
        <f t="shared" si="223"/>
        <v>-83.69999999999982</v>
      </c>
      <c r="J1005" s="36">
        <f t="shared" si="212"/>
        <v>10025.8</v>
      </c>
      <c r="K1005" s="7">
        <f t="shared" si="223"/>
        <v>1130</v>
      </c>
      <c r="L1005" s="36">
        <f t="shared" si="224"/>
        <v>11155.8</v>
      </c>
      <c r="M1005" s="7">
        <f t="shared" si="223"/>
        <v>-365.3</v>
      </c>
      <c r="N1005" s="36">
        <f t="shared" si="225"/>
        <v>10790.5</v>
      </c>
      <c r="O1005" s="7">
        <f t="shared" si="223"/>
        <v>0</v>
      </c>
      <c r="P1005" s="36">
        <f t="shared" si="221"/>
        <v>10790.5</v>
      </c>
      <c r="Q1005" s="7">
        <f t="shared" si="223"/>
        <v>-289</v>
      </c>
      <c r="R1005" s="36">
        <f t="shared" si="218"/>
        <v>10501.5</v>
      </c>
    </row>
    <row r="1006" spans="1:18" ht="33">
      <c r="A1006" s="62" t="str">
        <f ca="1">IF(ISERROR(MATCH(E1006,Код_КВР,0)),"",INDIRECT(ADDRESS(MATCH(E1006,Код_КВР,0)+1,2,,,"КВР")))</f>
        <v>Иные закупки товаров, работ и услуг для обеспечения муниципальных нужд</v>
      </c>
      <c r="B1006" s="46" t="s">
        <v>64</v>
      </c>
      <c r="C1006" s="8" t="s">
        <v>221</v>
      </c>
      <c r="D1006" s="1" t="s">
        <v>198</v>
      </c>
      <c r="E1006" s="115">
        <v>240</v>
      </c>
      <c r="F1006" s="7">
        <f t="shared" si="223"/>
        <v>10109.5</v>
      </c>
      <c r="G1006" s="7">
        <f t="shared" si="223"/>
        <v>0</v>
      </c>
      <c r="H1006" s="36">
        <f t="shared" si="214"/>
        <v>10109.5</v>
      </c>
      <c r="I1006" s="7">
        <f t="shared" si="223"/>
        <v>-83.69999999999982</v>
      </c>
      <c r="J1006" s="36">
        <f t="shared" si="212"/>
        <v>10025.8</v>
      </c>
      <c r="K1006" s="7">
        <f t="shared" si="223"/>
        <v>1130</v>
      </c>
      <c r="L1006" s="36">
        <f t="shared" si="224"/>
        <v>11155.8</v>
      </c>
      <c r="M1006" s="7">
        <f t="shared" si="223"/>
        <v>-365.3</v>
      </c>
      <c r="N1006" s="36">
        <f t="shared" si="225"/>
        <v>10790.5</v>
      </c>
      <c r="O1006" s="7">
        <f t="shared" si="223"/>
        <v>0</v>
      </c>
      <c r="P1006" s="36">
        <f t="shared" si="221"/>
        <v>10790.5</v>
      </c>
      <c r="Q1006" s="7">
        <f t="shared" si="223"/>
        <v>-289</v>
      </c>
      <c r="R1006" s="36">
        <f t="shared" si="218"/>
        <v>10501.5</v>
      </c>
    </row>
    <row r="1007" spans="1:18" ht="33">
      <c r="A1007" s="62" t="str">
        <f ca="1">IF(ISERROR(MATCH(E1007,Код_КВР,0)),"",INDIRECT(ADDRESS(MATCH(E1007,Код_КВР,0)+1,2,,,"КВР")))</f>
        <v xml:space="preserve">Прочая закупка товаров, работ и услуг для обеспечения муниципальных нужд         </v>
      </c>
      <c r="B1007" s="46" t="s">
        <v>64</v>
      </c>
      <c r="C1007" s="8" t="s">
        <v>221</v>
      </c>
      <c r="D1007" s="1" t="s">
        <v>198</v>
      </c>
      <c r="E1007" s="115">
        <v>244</v>
      </c>
      <c r="F1007" s="7">
        <f>'прил.5'!G1389</f>
        <v>10109.5</v>
      </c>
      <c r="G1007" s="7">
        <f>'прил.5'!H1389</f>
        <v>0</v>
      </c>
      <c r="H1007" s="36">
        <f t="shared" si="214"/>
        <v>10109.5</v>
      </c>
      <c r="I1007" s="7">
        <f>'прил.5'!J1389+'прил.5'!J110</f>
        <v>-83.69999999999982</v>
      </c>
      <c r="J1007" s="36">
        <f t="shared" si="212"/>
        <v>10025.8</v>
      </c>
      <c r="K1007" s="7">
        <f>'прил.5'!L1389+'прил.5'!L110</f>
        <v>1130</v>
      </c>
      <c r="L1007" s="36">
        <f t="shared" si="224"/>
        <v>11155.8</v>
      </c>
      <c r="M1007" s="7">
        <f>'прил.5'!N1389+'прил.5'!N110</f>
        <v>-365.3</v>
      </c>
      <c r="N1007" s="36">
        <f t="shared" si="225"/>
        <v>10790.5</v>
      </c>
      <c r="O1007" s="7">
        <f>'прил.5'!P1389+'прил.5'!P110</f>
        <v>0</v>
      </c>
      <c r="P1007" s="36">
        <f t="shared" si="221"/>
        <v>10790.5</v>
      </c>
      <c r="Q1007" s="7">
        <f>'прил.5'!R1389+'прил.5'!R110</f>
        <v>-289</v>
      </c>
      <c r="R1007" s="36">
        <f t="shared" si="218"/>
        <v>10501.5</v>
      </c>
    </row>
    <row r="1008" spans="1:18" ht="12.75">
      <c r="A1008" s="62" t="str">
        <f ca="1">IF(ISERROR(MATCH(C1008,Код_Раздел,0)),"",INDIRECT(ADDRESS(MATCH(C1008,Код_Раздел,0)+1,2,,,"Раздел")))</f>
        <v>Национальная экономика</v>
      </c>
      <c r="B1008" s="46" t="s">
        <v>64</v>
      </c>
      <c r="C1008" s="8" t="s">
        <v>224</v>
      </c>
      <c r="D1008" s="1"/>
      <c r="E1008" s="115"/>
      <c r="F1008" s="7">
        <f aca="true" t="shared" si="226" ref="F1008:Q1011">F1009</f>
        <v>64229</v>
      </c>
      <c r="G1008" s="7">
        <f t="shared" si="226"/>
        <v>0</v>
      </c>
      <c r="H1008" s="36">
        <f t="shared" si="214"/>
        <v>64229</v>
      </c>
      <c r="I1008" s="7">
        <f t="shared" si="226"/>
        <v>0</v>
      </c>
      <c r="J1008" s="36">
        <f t="shared" si="212"/>
        <v>64229</v>
      </c>
      <c r="K1008" s="7">
        <f t="shared" si="226"/>
        <v>0</v>
      </c>
      <c r="L1008" s="36">
        <f t="shared" si="224"/>
        <v>64229</v>
      </c>
      <c r="M1008" s="7">
        <f t="shared" si="226"/>
        <v>-2565.7</v>
      </c>
      <c r="N1008" s="36">
        <f t="shared" si="225"/>
        <v>61663.3</v>
      </c>
      <c r="O1008" s="7">
        <f t="shared" si="226"/>
        <v>0</v>
      </c>
      <c r="P1008" s="36">
        <f t="shared" si="221"/>
        <v>61663.3</v>
      </c>
      <c r="Q1008" s="7">
        <f t="shared" si="226"/>
        <v>-49.9</v>
      </c>
      <c r="R1008" s="36">
        <f t="shared" si="218"/>
        <v>61613.4</v>
      </c>
    </row>
    <row r="1009" spans="1:18" ht="12.75">
      <c r="A1009" s="79" t="s">
        <v>369</v>
      </c>
      <c r="B1009" s="46" t="s">
        <v>64</v>
      </c>
      <c r="C1009" s="8" t="s">
        <v>224</v>
      </c>
      <c r="D1009" s="8" t="s">
        <v>230</v>
      </c>
      <c r="E1009" s="115"/>
      <c r="F1009" s="7">
        <f t="shared" si="226"/>
        <v>64229</v>
      </c>
      <c r="G1009" s="7">
        <f t="shared" si="226"/>
        <v>0</v>
      </c>
      <c r="H1009" s="36">
        <f t="shared" si="214"/>
        <v>64229</v>
      </c>
      <c r="I1009" s="7">
        <f t="shared" si="226"/>
        <v>0</v>
      </c>
      <c r="J1009" s="36">
        <f t="shared" si="212"/>
        <v>64229</v>
      </c>
      <c r="K1009" s="7">
        <f t="shared" si="226"/>
        <v>0</v>
      </c>
      <c r="L1009" s="36">
        <f t="shared" si="224"/>
        <v>64229</v>
      </c>
      <c r="M1009" s="7">
        <f t="shared" si="226"/>
        <v>-2565.7</v>
      </c>
      <c r="N1009" s="36">
        <f t="shared" si="225"/>
        <v>61663.3</v>
      </c>
      <c r="O1009" s="7">
        <f t="shared" si="226"/>
        <v>0</v>
      </c>
      <c r="P1009" s="36">
        <f t="shared" si="221"/>
        <v>61663.3</v>
      </c>
      <c r="Q1009" s="7">
        <f t="shared" si="226"/>
        <v>-49.9</v>
      </c>
      <c r="R1009" s="36">
        <f t="shared" si="218"/>
        <v>61613.4</v>
      </c>
    </row>
    <row r="1010" spans="1:18" ht="12.75">
      <c r="A1010" s="62" t="str">
        <f ca="1">IF(ISERROR(MATCH(E1010,Код_КВР,0)),"",INDIRECT(ADDRESS(MATCH(E1010,Код_КВР,0)+1,2,,,"КВР")))</f>
        <v>Закупка товаров, работ и услуг для муниципальных нужд</v>
      </c>
      <c r="B1010" s="46" t="s">
        <v>64</v>
      </c>
      <c r="C1010" s="8" t="s">
        <v>224</v>
      </c>
      <c r="D1010" s="8" t="s">
        <v>230</v>
      </c>
      <c r="E1010" s="115">
        <v>200</v>
      </c>
      <c r="F1010" s="7">
        <f t="shared" si="226"/>
        <v>64229</v>
      </c>
      <c r="G1010" s="7">
        <f t="shared" si="226"/>
        <v>0</v>
      </c>
      <c r="H1010" s="36">
        <f t="shared" si="214"/>
        <v>64229</v>
      </c>
      <c r="I1010" s="7">
        <f t="shared" si="226"/>
        <v>0</v>
      </c>
      <c r="J1010" s="36">
        <f t="shared" si="212"/>
        <v>64229</v>
      </c>
      <c r="K1010" s="7">
        <f t="shared" si="226"/>
        <v>0</v>
      </c>
      <c r="L1010" s="36">
        <f t="shared" si="224"/>
        <v>64229</v>
      </c>
      <c r="M1010" s="7">
        <f t="shared" si="226"/>
        <v>-2565.7</v>
      </c>
      <c r="N1010" s="36">
        <f t="shared" si="225"/>
        <v>61663.3</v>
      </c>
      <c r="O1010" s="7">
        <f t="shared" si="226"/>
        <v>0</v>
      </c>
      <c r="P1010" s="36">
        <f t="shared" si="221"/>
        <v>61663.3</v>
      </c>
      <c r="Q1010" s="7">
        <f t="shared" si="226"/>
        <v>-49.9</v>
      </c>
      <c r="R1010" s="36">
        <f t="shared" si="218"/>
        <v>61613.4</v>
      </c>
    </row>
    <row r="1011" spans="1:18" ht="33">
      <c r="A1011" s="62" t="str">
        <f ca="1">IF(ISERROR(MATCH(E1011,Код_КВР,0)),"",INDIRECT(ADDRESS(MATCH(E1011,Код_КВР,0)+1,2,,,"КВР")))</f>
        <v>Иные закупки товаров, работ и услуг для обеспечения муниципальных нужд</v>
      </c>
      <c r="B1011" s="46" t="s">
        <v>64</v>
      </c>
      <c r="C1011" s="8" t="s">
        <v>224</v>
      </c>
      <c r="D1011" s="8" t="s">
        <v>230</v>
      </c>
      <c r="E1011" s="115">
        <v>240</v>
      </c>
      <c r="F1011" s="7">
        <f t="shared" si="226"/>
        <v>64229</v>
      </c>
      <c r="G1011" s="7">
        <f t="shared" si="226"/>
        <v>0</v>
      </c>
      <c r="H1011" s="36">
        <f t="shared" si="214"/>
        <v>64229</v>
      </c>
      <c r="I1011" s="7">
        <f t="shared" si="226"/>
        <v>0</v>
      </c>
      <c r="J1011" s="36">
        <f t="shared" si="212"/>
        <v>64229</v>
      </c>
      <c r="K1011" s="7">
        <f t="shared" si="226"/>
        <v>0</v>
      </c>
      <c r="L1011" s="36">
        <f t="shared" si="224"/>
        <v>64229</v>
      </c>
      <c r="M1011" s="7">
        <f t="shared" si="226"/>
        <v>-2565.7</v>
      </c>
      <c r="N1011" s="36">
        <f t="shared" si="225"/>
        <v>61663.3</v>
      </c>
      <c r="O1011" s="7">
        <f t="shared" si="226"/>
        <v>0</v>
      </c>
      <c r="P1011" s="36">
        <f t="shared" si="221"/>
        <v>61663.3</v>
      </c>
      <c r="Q1011" s="7">
        <f t="shared" si="226"/>
        <v>-49.9</v>
      </c>
      <c r="R1011" s="36">
        <f t="shared" si="218"/>
        <v>61613.4</v>
      </c>
    </row>
    <row r="1012" spans="1:18" ht="33">
      <c r="A1012" s="62" t="str">
        <f ca="1">IF(ISERROR(MATCH(E1012,Код_КВР,0)),"",INDIRECT(ADDRESS(MATCH(E1012,Код_КВР,0)+1,2,,,"КВР")))</f>
        <v xml:space="preserve">Прочая закупка товаров, работ и услуг для обеспечения муниципальных нужд         </v>
      </c>
      <c r="B1012" s="46" t="s">
        <v>64</v>
      </c>
      <c r="C1012" s="8" t="s">
        <v>224</v>
      </c>
      <c r="D1012" s="8" t="s">
        <v>230</v>
      </c>
      <c r="E1012" s="115">
        <v>244</v>
      </c>
      <c r="F1012" s="7">
        <f>'прил.5'!G1410</f>
        <v>64229</v>
      </c>
      <c r="G1012" s="7">
        <f>'прил.5'!H1410+'прил.5'!H422</f>
        <v>0</v>
      </c>
      <c r="H1012" s="36">
        <f t="shared" si="214"/>
        <v>64229</v>
      </c>
      <c r="I1012" s="7">
        <f>'прил.5'!J1410+'прил.5'!J422</f>
        <v>0</v>
      </c>
      <c r="J1012" s="36">
        <f t="shared" si="212"/>
        <v>64229</v>
      </c>
      <c r="K1012" s="7">
        <f>'прил.5'!L1410+'прил.5'!L422</f>
        <v>0</v>
      </c>
      <c r="L1012" s="36">
        <f t="shared" si="224"/>
        <v>64229</v>
      </c>
      <c r="M1012" s="7">
        <f>'прил.5'!N1410+'прил.5'!N422</f>
        <v>-2565.7</v>
      </c>
      <c r="N1012" s="36">
        <f t="shared" si="225"/>
        <v>61663.3</v>
      </c>
      <c r="O1012" s="7">
        <f>'прил.5'!P1410+'прил.5'!P422</f>
        <v>0</v>
      </c>
      <c r="P1012" s="36">
        <f t="shared" si="221"/>
        <v>61663.3</v>
      </c>
      <c r="Q1012" s="7">
        <f>'прил.5'!R1410+'прил.5'!R422</f>
        <v>-49.9</v>
      </c>
      <c r="R1012" s="36">
        <f t="shared" si="218"/>
        <v>61613.4</v>
      </c>
    </row>
    <row r="1013" spans="1:18" ht="33">
      <c r="A1013" s="62" t="str">
        <f ca="1">IF(ISERROR(MATCH(B1013,Код_КЦСР,0)),"",INDIRECT(ADDRESS(MATCH(B1013,Код_КЦСР,0)+1,2,,,"КЦСР")))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013" s="46" t="s">
        <v>66</v>
      </c>
      <c r="C1013" s="8"/>
      <c r="D1013" s="1"/>
      <c r="E1013" s="115"/>
      <c r="F1013" s="7">
        <f aca="true" t="shared" si="227" ref="F1013:Q1017">F1014</f>
        <v>4795.1</v>
      </c>
      <c r="G1013" s="7">
        <f t="shared" si="227"/>
        <v>0</v>
      </c>
      <c r="H1013" s="36">
        <f t="shared" si="214"/>
        <v>4795.1</v>
      </c>
      <c r="I1013" s="7">
        <f t="shared" si="227"/>
        <v>0</v>
      </c>
      <c r="J1013" s="36">
        <f t="shared" si="212"/>
        <v>4795.1</v>
      </c>
      <c r="K1013" s="7">
        <f t="shared" si="227"/>
        <v>-778.2</v>
      </c>
      <c r="L1013" s="36">
        <f t="shared" si="224"/>
        <v>4016.9000000000005</v>
      </c>
      <c r="M1013" s="7">
        <f t="shared" si="227"/>
        <v>0</v>
      </c>
      <c r="N1013" s="36">
        <f t="shared" si="225"/>
        <v>4016.9000000000005</v>
      </c>
      <c r="O1013" s="7">
        <f t="shared" si="227"/>
        <v>0</v>
      </c>
      <c r="P1013" s="36">
        <f t="shared" si="221"/>
        <v>4016.9000000000005</v>
      </c>
      <c r="Q1013" s="7">
        <f t="shared" si="227"/>
        <v>49.90000000000006</v>
      </c>
      <c r="R1013" s="36">
        <f t="shared" si="218"/>
        <v>4066.8000000000006</v>
      </c>
    </row>
    <row r="1014" spans="1:18" ht="12.75">
      <c r="A1014" s="62" t="str">
        <f ca="1">IF(ISERROR(MATCH(C1014,Код_Раздел,0)),"",INDIRECT(ADDRESS(MATCH(C1014,Код_Раздел,0)+1,2,,,"Раздел")))</f>
        <v>Общегосударственные  вопросы</v>
      </c>
      <c r="B1014" s="46" t="s">
        <v>66</v>
      </c>
      <c r="C1014" s="8" t="s">
        <v>221</v>
      </c>
      <c r="D1014" s="1"/>
      <c r="E1014" s="115"/>
      <c r="F1014" s="7">
        <f t="shared" si="227"/>
        <v>4795.1</v>
      </c>
      <c r="G1014" s="7">
        <f t="shared" si="227"/>
        <v>0</v>
      </c>
      <c r="H1014" s="36">
        <f t="shared" si="214"/>
        <v>4795.1</v>
      </c>
      <c r="I1014" s="7">
        <f t="shared" si="227"/>
        <v>0</v>
      </c>
      <c r="J1014" s="36">
        <f t="shared" si="212"/>
        <v>4795.1</v>
      </c>
      <c r="K1014" s="7">
        <f t="shared" si="227"/>
        <v>-778.2</v>
      </c>
      <c r="L1014" s="36">
        <f t="shared" si="224"/>
        <v>4016.9000000000005</v>
      </c>
      <c r="M1014" s="7">
        <f t="shared" si="227"/>
        <v>0</v>
      </c>
      <c r="N1014" s="36">
        <f t="shared" si="225"/>
        <v>4016.9000000000005</v>
      </c>
      <c r="O1014" s="7">
        <f t="shared" si="227"/>
        <v>0</v>
      </c>
      <c r="P1014" s="36">
        <f t="shared" si="221"/>
        <v>4016.9000000000005</v>
      </c>
      <c r="Q1014" s="7">
        <f t="shared" si="227"/>
        <v>49.90000000000006</v>
      </c>
      <c r="R1014" s="36">
        <f t="shared" si="218"/>
        <v>4066.8000000000006</v>
      </c>
    </row>
    <row r="1015" spans="1:18" ht="12.75">
      <c r="A1015" s="12" t="s">
        <v>245</v>
      </c>
      <c r="B1015" s="46" t="s">
        <v>66</v>
      </c>
      <c r="C1015" s="8" t="s">
        <v>221</v>
      </c>
      <c r="D1015" s="1" t="s">
        <v>198</v>
      </c>
      <c r="E1015" s="115"/>
      <c r="F1015" s="7">
        <f t="shared" si="227"/>
        <v>4795.1</v>
      </c>
      <c r="G1015" s="7">
        <f t="shared" si="227"/>
        <v>0</v>
      </c>
      <c r="H1015" s="36">
        <f t="shared" si="214"/>
        <v>4795.1</v>
      </c>
      <c r="I1015" s="7">
        <f t="shared" si="227"/>
        <v>0</v>
      </c>
      <c r="J1015" s="36">
        <f t="shared" si="212"/>
        <v>4795.1</v>
      </c>
      <c r="K1015" s="7">
        <f t="shared" si="227"/>
        <v>-778.2</v>
      </c>
      <c r="L1015" s="36">
        <f t="shared" si="224"/>
        <v>4016.9000000000005</v>
      </c>
      <c r="M1015" s="7">
        <f t="shared" si="227"/>
        <v>0</v>
      </c>
      <c r="N1015" s="36">
        <f t="shared" si="225"/>
        <v>4016.9000000000005</v>
      </c>
      <c r="O1015" s="7">
        <f t="shared" si="227"/>
        <v>0</v>
      </c>
      <c r="P1015" s="36">
        <f t="shared" si="221"/>
        <v>4016.9000000000005</v>
      </c>
      <c r="Q1015" s="7">
        <f t="shared" si="227"/>
        <v>49.90000000000006</v>
      </c>
      <c r="R1015" s="36">
        <f t="shared" si="218"/>
        <v>4066.8000000000006</v>
      </c>
    </row>
    <row r="1016" spans="1:18" ht="12.75">
      <c r="A1016" s="62" t="str">
        <f ca="1">IF(ISERROR(MATCH(E1016,Код_КВР,0)),"",INDIRECT(ADDRESS(MATCH(E1016,Код_КВР,0)+1,2,,,"КВР")))</f>
        <v>Закупка товаров, работ и услуг для муниципальных нужд</v>
      </c>
      <c r="B1016" s="46" t="s">
        <v>66</v>
      </c>
      <c r="C1016" s="8" t="s">
        <v>221</v>
      </c>
      <c r="D1016" s="1" t="s">
        <v>198</v>
      </c>
      <c r="E1016" s="115">
        <v>200</v>
      </c>
      <c r="F1016" s="7">
        <f t="shared" si="227"/>
        <v>4795.1</v>
      </c>
      <c r="G1016" s="7">
        <f t="shared" si="227"/>
        <v>0</v>
      </c>
      <c r="H1016" s="36">
        <f t="shared" si="214"/>
        <v>4795.1</v>
      </c>
      <c r="I1016" s="7">
        <f t="shared" si="227"/>
        <v>0</v>
      </c>
      <c r="J1016" s="36">
        <f t="shared" si="212"/>
        <v>4795.1</v>
      </c>
      <c r="K1016" s="7">
        <f t="shared" si="227"/>
        <v>-778.2</v>
      </c>
      <c r="L1016" s="36">
        <f t="shared" si="224"/>
        <v>4016.9000000000005</v>
      </c>
      <c r="M1016" s="7">
        <f t="shared" si="227"/>
        <v>0</v>
      </c>
      <c r="N1016" s="36">
        <f t="shared" si="225"/>
        <v>4016.9000000000005</v>
      </c>
      <c r="O1016" s="7">
        <f t="shared" si="227"/>
        <v>0</v>
      </c>
      <c r="P1016" s="36">
        <f t="shared" si="221"/>
        <v>4016.9000000000005</v>
      </c>
      <c r="Q1016" s="7">
        <f t="shared" si="227"/>
        <v>49.90000000000006</v>
      </c>
      <c r="R1016" s="36">
        <f t="shared" si="218"/>
        <v>4066.8000000000006</v>
      </c>
    </row>
    <row r="1017" spans="1:18" ht="33">
      <c r="A1017" s="62" t="str">
        <f ca="1">IF(ISERROR(MATCH(E1017,Код_КВР,0)),"",INDIRECT(ADDRESS(MATCH(E1017,Код_КВР,0)+1,2,,,"КВР")))</f>
        <v>Иные закупки товаров, работ и услуг для обеспечения муниципальных нужд</v>
      </c>
      <c r="B1017" s="46" t="s">
        <v>66</v>
      </c>
      <c r="C1017" s="8" t="s">
        <v>221</v>
      </c>
      <c r="D1017" s="1" t="s">
        <v>198</v>
      </c>
      <c r="E1017" s="115">
        <v>240</v>
      </c>
      <c r="F1017" s="7">
        <f t="shared" si="227"/>
        <v>4795.1</v>
      </c>
      <c r="G1017" s="7">
        <f t="shared" si="227"/>
        <v>0</v>
      </c>
      <c r="H1017" s="36">
        <f t="shared" si="214"/>
        <v>4795.1</v>
      </c>
      <c r="I1017" s="7">
        <f t="shared" si="227"/>
        <v>0</v>
      </c>
      <c r="J1017" s="36">
        <f aca="true" t="shared" si="228" ref="J1017:J1145">H1017+I1017</f>
        <v>4795.1</v>
      </c>
      <c r="K1017" s="7">
        <f t="shared" si="227"/>
        <v>-778.2</v>
      </c>
      <c r="L1017" s="36">
        <f t="shared" si="224"/>
        <v>4016.9000000000005</v>
      </c>
      <c r="M1017" s="7">
        <f t="shared" si="227"/>
        <v>0</v>
      </c>
      <c r="N1017" s="36">
        <f t="shared" si="225"/>
        <v>4016.9000000000005</v>
      </c>
      <c r="O1017" s="7">
        <f t="shared" si="227"/>
        <v>0</v>
      </c>
      <c r="P1017" s="36">
        <f t="shared" si="221"/>
        <v>4016.9000000000005</v>
      </c>
      <c r="Q1017" s="7">
        <f t="shared" si="227"/>
        <v>49.90000000000006</v>
      </c>
      <c r="R1017" s="36">
        <f t="shared" si="218"/>
        <v>4066.8000000000006</v>
      </c>
    </row>
    <row r="1018" spans="1:18" ht="33">
      <c r="A1018" s="62" t="str">
        <f ca="1">IF(ISERROR(MATCH(E1018,Код_КВР,0)),"",INDIRECT(ADDRESS(MATCH(E1018,Код_КВР,0)+1,2,,,"КВР")))</f>
        <v xml:space="preserve">Прочая закупка товаров, работ и услуг для обеспечения муниципальных нужд         </v>
      </c>
      <c r="B1018" s="46" t="s">
        <v>66</v>
      </c>
      <c r="C1018" s="8" t="s">
        <v>221</v>
      </c>
      <c r="D1018" s="1" t="s">
        <v>198</v>
      </c>
      <c r="E1018" s="115">
        <v>244</v>
      </c>
      <c r="F1018" s="7">
        <f>'прил.5'!G1393</f>
        <v>4795.1</v>
      </c>
      <c r="G1018" s="7">
        <f>'прил.5'!H1393</f>
        <v>0</v>
      </c>
      <c r="H1018" s="36">
        <f t="shared" si="214"/>
        <v>4795.1</v>
      </c>
      <c r="I1018" s="7">
        <f>'прил.5'!J1393</f>
        <v>0</v>
      </c>
      <c r="J1018" s="36">
        <f t="shared" si="228"/>
        <v>4795.1</v>
      </c>
      <c r="K1018" s="7">
        <f>'прил.5'!L1393</f>
        <v>-778.2</v>
      </c>
      <c r="L1018" s="36">
        <f t="shared" si="224"/>
        <v>4016.9000000000005</v>
      </c>
      <c r="M1018" s="7">
        <f>'прил.5'!N1393</f>
        <v>0</v>
      </c>
      <c r="N1018" s="36">
        <f t="shared" si="225"/>
        <v>4016.9000000000005</v>
      </c>
      <c r="O1018" s="7">
        <f>'прил.5'!P1393</f>
        <v>0</v>
      </c>
      <c r="P1018" s="36">
        <f t="shared" si="221"/>
        <v>4016.9000000000005</v>
      </c>
      <c r="Q1018" s="7">
        <f>'прил.5'!R1393</f>
        <v>49.90000000000006</v>
      </c>
      <c r="R1018" s="36">
        <f t="shared" si="218"/>
        <v>4066.8000000000006</v>
      </c>
    </row>
    <row r="1019" spans="1:18" ht="33">
      <c r="A1019" s="62" t="str">
        <f ca="1">IF(ISERROR(MATCH(B1019,Код_КЦСР,0)),"",INDIRECT(ADDRESS(MATCH(B1019,Код_КЦСР,0)+1,2,,,"КЦСР")))</f>
        <v>Обеспечение исполнения полномочий органа местного самоуправления в области наружной рекламы</v>
      </c>
      <c r="B1019" s="46" t="s">
        <v>68</v>
      </c>
      <c r="C1019" s="8"/>
      <c r="D1019" s="1"/>
      <c r="E1019" s="115"/>
      <c r="F1019" s="7">
        <f aca="true" t="shared" si="229" ref="F1019:Q1023">F1020</f>
        <v>728.2</v>
      </c>
      <c r="G1019" s="7">
        <f t="shared" si="229"/>
        <v>0</v>
      </c>
      <c r="H1019" s="36">
        <f t="shared" si="214"/>
        <v>728.2</v>
      </c>
      <c r="I1019" s="7">
        <f t="shared" si="229"/>
        <v>0</v>
      </c>
      <c r="J1019" s="36">
        <f t="shared" si="228"/>
        <v>728.2</v>
      </c>
      <c r="K1019" s="7">
        <f t="shared" si="229"/>
        <v>0</v>
      </c>
      <c r="L1019" s="36">
        <f t="shared" si="224"/>
        <v>728.2</v>
      </c>
      <c r="M1019" s="7">
        <f t="shared" si="229"/>
        <v>-70.2</v>
      </c>
      <c r="N1019" s="36">
        <f t="shared" si="225"/>
        <v>658</v>
      </c>
      <c r="O1019" s="7">
        <f t="shared" si="229"/>
        <v>0</v>
      </c>
      <c r="P1019" s="36">
        <f t="shared" si="221"/>
        <v>658</v>
      </c>
      <c r="Q1019" s="7">
        <f t="shared" si="229"/>
        <v>0</v>
      </c>
      <c r="R1019" s="36">
        <f t="shared" si="218"/>
        <v>658</v>
      </c>
    </row>
    <row r="1020" spans="1:18" ht="12.75">
      <c r="A1020" s="62" t="str">
        <f ca="1">IF(ISERROR(MATCH(C1020,Код_Раздел,0)),"",INDIRECT(ADDRESS(MATCH(C1020,Код_Раздел,0)+1,2,,,"Раздел")))</f>
        <v>Национальная экономика</v>
      </c>
      <c r="B1020" s="46" t="s">
        <v>68</v>
      </c>
      <c r="C1020" s="8" t="s">
        <v>224</v>
      </c>
      <c r="D1020" s="1"/>
      <c r="E1020" s="115"/>
      <c r="F1020" s="7">
        <f t="shared" si="229"/>
        <v>728.2</v>
      </c>
      <c r="G1020" s="7">
        <f t="shared" si="229"/>
        <v>0</v>
      </c>
      <c r="H1020" s="36">
        <f t="shared" si="214"/>
        <v>728.2</v>
      </c>
      <c r="I1020" s="7">
        <f t="shared" si="229"/>
        <v>0</v>
      </c>
      <c r="J1020" s="36">
        <f t="shared" si="228"/>
        <v>728.2</v>
      </c>
      <c r="K1020" s="7">
        <f t="shared" si="229"/>
        <v>0</v>
      </c>
      <c r="L1020" s="36">
        <f t="shared" si="224"/>
        <v>728.2</v>
      </c>
      <c r="M1020" s="7">
        <f t="shared" si="229"/>
        <v>-70.2</v>
      </c>
      <c r="N1020" s="36">
        <f t="shared" si="225"/>
        <v>658</v>
      </c>
      <c r="O1020" s="7">
        <f t="shared" si="229"/>
        <v>0</v>
      </c>
      <c r="P1020" s="36">
        <f t="shared" si="221"/>
        <v>658</v>
      </c>
      <c r="Q1020" s="7">
        <f t="shared" si="229"/>
        <v>0</v>
      </c>
      <c r="R1020" s="36">
        <f t="shared" si="218"/>
        <v>658</v>
      </c>
    </row>
    <row r="1021" spans="1:18" ht="12.75">
      <c r="A1021" s="12" t="s">
        <v>231</v>
      </c>
      <c r="B1021" s="46" t="s">
        <v>68</v>
      </c>
      <c r="C1021" s="8" t="s">
        <v>224</v>
      </c>
      <c r="D1021" s="8" t="s">
        <v>204</v>
      </c>
      <c r="E1021" s="115"/>
      <c r="F1021" s="7">
        <f t="shared" si="229"/>
        <v>728.2</v>
      </c>
      <c r="G1021" s="7">
        <f t="shared" si="229"/>
        <v>0</v>
      </c>
      <c r="H1021" s="36">
        <f t="shared" si="214"/>
        <v>728.2</v>
      </c>
      <c r="I1021" s="7">
        <f t="shared" si="229"/>
        <v>0</v>
      </c>
      <c r="J1021" s="36">
        <f t="shared" si="228"/>
        <v>728.2</v>
      </c>
      <c r="K1021" s="7">
        <f t="shared" si="229"/>
        <v>0</v>
      </c>
      <c r="L1021" s="36">
        <f t="shared" si="224"/>
        <v>728.2</v>
      </c>
      <c r="M1021" s="7">
        <f t="shared" si="229"/>
        <v>-70.2</v>
      </c>
      <c r="N1021" s="36">
        <f t="shared" si="225"/>
        <v>658</v>
      </c>
      <c r="O1021" s="7">
        <f t="shared" si="229"/>
        <v>0</v>
      </c>
      <c r="P1021" s="36">
        <f t="shared" si="221"/>
        <v>658</v>
      </c>
      <c r="Q1021" s="7">
        <f t="shared" si="229"/>
        <v>0</v>
      </c>
      <c r="R1021" s="36">
        <f t="shared" si="218"/>
        <v>658</v>
      </c>
    </row>
    <row r="1022" spans="1:18" ht="12.75">
      <c r="A1022" s="62" t="str">
        <f ca="1">IF(ISERROR(MATCH(E1022,Код_КВР,0)),"",INDIRECT(ADDRESS(MATCH(E1022,Код_КВР,0)+1,2,,,"КВР")))</f>
        <v>Закупка товаров, работ и услуг для муниципальных нужд</v>
      </c>
      <c r="B1022" s="46" t="s">
        <v>68</v>
      </c>
      <c r="C1022" s="8" t="s">
        <v>224</v>
      </c>
      <c r="D1022" s="8" t="s">
        <v>204</v>
      </c>
      <c r="E1022" s="115">
        <v>200</v>
      </c>
      <c r="F1022" s="7">
        <f t="shared" si="229"/>
        <v>728.2</v>
      </c>
      <c r="G1022" s="7">
        <f t="shared" si="229"/>
        <v>0</v>
      </c>
      <c r="H1022" s="36">
        <f t="shared" si="214"/>
        <v>728.2</v>
      </c>
      <c r="I1022" s="7">
        <f t="shared" si="229"/>
        <v>0</v>
      </c>
      <c r="J1022" s="36">
        <f t="shared" si="228"/>
        <v>728.2</v>
      </c>
      <c r="K1022" s="7">
        <f t="shared" si="229"/>
        <v>0</v>
      </c>
      <c r="L1022" s="36">
        <f t="shared" si="224"/>
        <v>728.2</v>
      </c>
      <c r="M1022" s="7">
        <f t="shared" si="229"/>
        <v>-70.2</v>
      </c>
      <c r="N1022" s="36">
        <f t="shared" si="225"/>
        <v>658</v>
      </c>
      <c r="O1022" s="7">
        <f t="shared" si="229"/>
        <v>0</v>
      </c>
      <c r="P1022" s="36">
        <f t="shared" si="221"/>
        <v>658</v>
      </c>
      <c r="Q1022" s="7">
        <f t="shared" si="229"/>
        <v>0</v>
      </c>
      <c r="R1022" s="36">
        <f t="shared" si="218"/>
        <v>658</v>
      </c>
    </row>
    <row r="1023" spans="1:18" ht="33">
      <c r="A1023" s="62" t="str">
        <f ca="1">IF(ISERROR(MATCH(E1023,Код_КВР,0)),"",INDIRECT(ADDRESS(MATCH(E1023,Код_КВР,0)+1,2,,,"КВР")))</f>
        <v>Иные закупки товаров, работ и услуг для обеспечения муниципальных нужд</v>
      </c>
      <c r="B1023" s="46" t="s">
        <v>68</v>
      </c>
      <c r="C1023" s="8" t="s">
        <v>224</v>
      </c>
      <c r="D1023" s="8" t="s">
        <v>204</v>
      </c>
      <c r="E1023" s="115">
        <v>240</v>
      </c>
      <c r="F1023" s="7">
        <f t="shared" si="229"/>
        <v>728.2</v>
      </c>
      <c r="G1023" s="7">
        <f t="shared" si="229"/>
        <v>0</v>
      </c>
      <c r="H1023" s="36">
        <f t="shared" si="214"/>
        <v>728.2</v>
      </c>
      <c r="I1023" s="7">
        <f t="shared" si="229"/>
        <v>0</v>
      </c>
      <c r="J1023" s="36">
        <f t="shared" si="228"/>
        <v>728.2</v>
      </c>
      <c r="K1023" s="7">
        <f t="shared" si="229"/>
        <v>0</v>
      </c>
      <c r="L1023" s="36">
        <f t="shared" si="224"/>
        <v>728.2</v>
      </c>
      <c r="M1023" s="7">
        <f t="shared" si="229"/>
        <v>-70.2</v>
      </c>
      <c r="N1023" s="36">
        <f t="shared" si="225"/>
        <v>658</v>
      </c>
      <c r="O1023" s="7">
        <f t="shared" si="229"/>
        <v>0</v>
      </c>
      <c r="P1023" s="36">
        <f t="shared" si="221"/>
        <v>658</v>
      </c>
      <c r="Q1023" s="7">
        <f t="shared" si="229"/>
        <v>0</v>
      </c>
      <c r="R1023" s="36">
        <f t="shared" si="218"/>
        <v>658</v>
      </c>
    </row>
    <row r="1024" spans="1:18" ht="33">
      <c r="A1024" s="62" t="str">
        <f ca="1">IF(ISERROR(MATCH(E1024,Код_КВР,0)),"",INDIRECT(ADDRESS(MATCH(E1024,Код_КВР,0)+1,2,,,"КВР")))</f>
        <v xml:space="preserve">Прочая закупка товаров, работ и услуг для обеспечения муниципальных нужд         </v>
      </c>
      <c r="B1024" s="46" t="s">
        <v>68</v>
      </c>
      <c r="C1024" s="8" t="s">
        <v>224</v>
      </c>
      <c r="D1024" s="8" t="s">
        <v>204</v>
      </c>
      <c r="E1024" s="115">
        <v>244</v>
      </c>
      <c r="F1024" s="7">
        <f>'прил.5'!G1451</f>
        <v>728.2</v>
      </c>
      <c r="G1024" s="7">
        <f>'прил.5'!H1451</f>
        <v>0</v>
      </c>
      <c r="H1024" s="36">
        <f t="shared" si="214"/>
        <v>728.2</v>
      </c>
      <c r="I1024" s="7">
        <f>'прил.5'!J1451</f>
        <v>0</v>
      </c>
      <c r="J1024" s="36">
        <f t="shared" si="228"/>
        <v>728.2</v>
      </c>
      <c r="K1024" s="7">
        <f>'прил.5'!L1451</f>
        <v>0</v>
      </c>
      <c r="L1024" s="36">
        <f t="shared" si="224"/>
        <v>728.2</v>
      </c>
      <c r="M1024" s="7">
        <f>'прил.5'!N1451</f>
        <v>-70.2</v>
      </c>
      <c r="N1024" s="36">
        <f t="shared" si="225"/>
        <v>658</v>
      </c>
      <c r="O1024" s="7">
        <f>'прил.5'!P1451</f>
        <v>0</v>
      </c>
      <c r="P1024" s="36">
        <f t="shared" si="221"/>
        <v>658</v>
      </c>
      <c r="Q1024" s="7">
        <f>'прил.5'!R1451</f>
        <v>0</v>
      </c>
      <c r="R1024" s="36">
        <f t="shared" si="218"/>
        <v>658</v>
      </c>
    </row>
    <row r="1025" spans="1:18" ht="51.75" customHeight="1">
      <c r="A1025" s="62" t="str">
        <f ca="1">IF(ISERROR(MATCH(B1025,Код_КЦСР,0)),"",INDIRECT(ADDRESS(MATCH(B1025,Код_КЦСР,0)+1,2,,,"КЦСР")))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025" s="63" t="s">
        <v>70</v>
      </c>
      <c r="C1025" s="8"/>
      <c r="D1025" s="1"/>
      <c r="E1025" s="115"/>
      <c r="F1025" s="7">
        <f>F1026+F1121+F1151</f>
        <v>197705.1</v>
      </c>
      <c r="G1025" s="7">
        <f>G1026+G1121+G1151</f>
        <v>0</v>
      </c>
      <c r="H1025" s="36">
        <f aca="true" t="shared" si="230" ref="H1025:H1158">F1025+G1025</f>
        <v>197705.1</v>
      </c>
      <c r="I1025" s="7">
        <f>I1026+I1121+I1151</f>
        <v>10964.4</v>
      </c>
      <c r="J1025" s="36">
        <f t="shared" si="228"/>
        <v>208669.5</v>
      </c>
      <c r="K1025" s="7">
        <f>K1026+K1121+K1151</f>
        <v>291.0000000000003</v>
      </c>
      <c r="L1025" s="36">
        <f t="shared" si="224"/>
        <v>208960.5</v>
      </c>
      <c r="M1025" s="7">
        <f>M1026+M1121+M1151</f>
        <v>3842.2</v>
      </c>
      <c r="N1025" s="36">
        <f t="shared" si="225"/>
        <v>212802.7</v>
      </c>
      <c r="O1025" s="7">
        <f>O1026+O1121+O1151</f>
        <v>3959.5</v>
      </c>
      <c r="P1025" s="36">
        <f t="shared" si="221"/>
        <v>216762.2</v>
      </c>
      <c r="Q1025" s="7">
        <f>Q1026+Q1121+Q1151+Q1163</f>
        <v>284959.9</v>
      </c>
      <c r="R1025" s="36">
        <f t="shared" si="218"/>
        <v>501722.10000000003</v>
      </c>
    </row>
    <row r="1026" spans="1:18" ht="33">
      <c r="A1026" s="62" t="str">
        <f ca="1">IF(ISERROR(MATCH(B1026,Код_КЦСР,0)),"",INDIRECT(ADDRESS(MATCH(B1026,Код_КЦСР,0)+1,2,,,"КЦСР")))</f>
        <v>Капитальное строительство и реконструкция объектов муниципальной собственности</v>
      </c>
      <c r="B1026" s="63" t="s">
        <v>72</v>
      </c>
      <c r="C1026" s="8"/>
      <c r="D1026" s="1"/>
      <c r="E1026" s="115"/>
      <c r="F1026" s="7">
        <f>F1027+F1061+F1067+F1073</f>
        <v>100305.7</v>
      </c>
      <c r="G1026" s="7">
        <f>G1027+G1061+G1067+G1073</f>
        <v>0</v>
      </c>
      <c r="H1026" s="36">
        <f t="shared" si="230"/>
        <v>100305.7</v>
      </c>
      <c r="I1026" s="7">
        <f>I1027+I1061+I1067+I1073+I1079</f>
        <v>10369.8</v>
      </c>
      <c r="J1026" s="36">
        <f>H1026+I1026</f>
        <v>110675.5</v>
      </c>
      <c r="K1026" s="7">
        <f>K1027+K1061+K1067+K1073+K1079+K1085</f>
        <v>-1435.1999999999998</v>
      </c>
      <c r="L1026" s="36">
        <f t="shared" si="224"/>
        <v>109240.3</v>
      </c>
      <c r="M1026" s="7">
        <f>M1027+M1061+M1067+M1073+M1079+M1085</f>
        <v>3842.2</v>
      </c>
      <c r="N1026" s="36">
        <f t="shared" si="225"/>
        <v>113082.5</v>
      </c>
      <c r="O1026" s="7">
        <f>O1027+O1061+O1067+O1073+O1079+O1085</f>
        <v>3959.5</v>
      </c>
      <c r="P1026" s="36">
        <f t="shared" si="221"/>
        <v>117042</v>
      </c>
      <c r="Q1026" s="7">
        <f>Q1027+Q1061+Q1067+Q1073+Q1079+Q1085+Q1097+Q1103+Q1109+Q1115+Q1091</f>
        <v>77363.29999999999</v>
      </c>
      <c r="R1026" s="36">
        <f t="shared" si="218"/>
        <v>194405.3</v>
      </c>
    </row>
    <row r="1027" spans="1:18" ht="12.75">
      <c r="A1027" s="62" t="str">
        <f ca="1">IF(ISERROR(MATCH(B1027,Код_КЦСР,0)),"",INDIRECT(ADDRESS(MATCH(B1027,Код_КЦСР,0)+1,2,,,"КЦСР")))</f>
        <v>Строительство объектов сметной стоимостью до 100 млн. рублей</v>
      </c>
      <c r="B1027" s="63" t="s">
        <v>73</v>
      </c>
      <c r="C1027" s="8"/>
      <c r="D1027" s="1"/>
      <c r="E1027" s="115"/>
      <c r="F1027" s="7">
        <f>F1028+F1041+F1046+F1056</f>
        <v>17183.7</v>
      </c>
      <c r="G1027" s="7">
        <f>G1028+G1041+G1046+G1056</f>
        <v>0</v>
      </c>
      <c r="H1027" s="36">
        <f t="shared" si="230"/>
        <v>17183.7</v>
      </c>
      <c r="I1027" s="7">
        <f>I1028+I1041+I1046+I1056</f>
        <v>-594.6</v>
      </c>
      <c r="J1027" s="36">
        <f t="shared" si="228"/>
        <v>16589.100000000002</v>
      </c>
      <c r="K1027" s="7">
        <f>K1028+K1041+K1046+K1056</f>
        <v>5809</v>
      </c>
      <c r="L1027" s="36">
        <f t="shared" si="224"/>
        <v>22398.100000000002</v>
      </c>
      <c r="M1027" s="7">
        <f>M1028+M1041+M1046+M1056</f>
        <v>3842.2</v>
      </c>
      <c r="N1027" s="36">
        <f t="shared" si="225"/>
        <v>26240.300000000003</v>
      </c>
      <c r="O1027" s="7">
        <f>O1028+O1041+O1046+O1056</f>
        <v>3959.5</v>
      </c>
      <c r="P1027" s="36">
        <f t="shared" si="221"/>
        <v>30199.800000000003</v>
      </c>
      <c r="Q1027" s="7">
        <f>Q1028+Q1041+Q1046+Q1056+Q1051</f>
        <v>9691.300000000001</v>
      </c>
      <c r="R1027" s="36">
        <f t="shared" si="218"/>
        <v>39891.100000000006</v>
      </c>
    </row>
    <row r="1028" spans="1:18" ht="12.75">
      <c r="A1028" s="62" t="str">
        <f ca="1">IF(ISERROR(MATCH(C1028,Код_Раздел,0)),"",INDIRECT(ADDRESS(MATCH(C1028,Код_Раздел,0)+1,2,,,"Раздел")))</f>
        <v>Национальная экономика</v>
      </c>
      <c r="B1028" s="63" t="s">
        <v>73</v>
      </c>
      <c r="C1028" s="8" t="s">
        <v>224</v>
      </c>
      <c r="D1028" s="1"/>
      <c r="E1028" s="115"/>
      <c r="F1028" s="7">
        <f aca="true" t="shared" si="231" ref="F1028:Q1031">F1029</f>
        <v>2004.9</v>
      </c>
      <c r="G1028" s="7">
        <f t="shared" si="231"/>
        <v>0</v>
      </c>
      <c r="H1028" s="36">
        <f t="shared" si="230"/>
        <v>2004.9</v>
      </c>
      <c r="I1028" s="7">
        <f t="shared" si="231"/>
        <v>-594.6</v>
      </c>
      <c r="J1028" s="36">
        <f t="shared" si="228"/>
        <v>1410.3000000000002</v>
      </c>
      <c r="K1028" s="7">
        <f>K1029+K1033</f>
        <v>3309</v>
      </c>
      <c r="L1028" s="36">
        <f t="shared" si="224"/>
        <v>4719.3</v>
      </c>
      <c r="M1028" s="7">
        <f>M1029+M1033</f>
        <v>0</v>
      </c>
      <c r="N1028" s="36">
        <f t="shared" si="225"/>
        <v>4719.3</v>
      </c>
      <c r="O1028" s="7">
        <f>O1029+O1033</f>
        <v>0</v>
      </c>
      <c r="P1028" s="36">
        <f t="shared" si="221"/>
        <v>4719.3</v>
      </c>
      <c r="Q1028" s="7">
        <f>Q1029+Q1033+Q1037</f>
        <v>3758.7000000000003</v>
      </c>
      <c r="R1028" s="36">
        <f t="shared" si="218"/>
        <v>8478</v>
      </c>
    </row>
    <row r="1029" spans="1:18" ht="12.75">
      <c r="A1029" s="79" t="s">
        <v>188</v>
      </c>
      <c r="B1029" s="63" t="s">
        <v>73</v>
      </c>
      <c r="C1029" s="8" t="s">
        <v>224</v>
      </c>
      <c r="D1029" s="8" t="s">
        <v>227</v>
      </c>
      <c r="E1029" s="115"/>
      <c r="F1029" s="7">
        <f t="shared" si="231"/>
        <v>2004.9</v>
      </c>
      <c r="G1029" s="7">
        <f t="shared" si="231"/>
        <v>0</v>
      </c>
      <c r="H1029" s="36">
        <f t="shared" si="230"/>
        <v>2004.9</v>
      </c>
      <c r="I1029" s="7">
        <f t="shared" si="231"/>
        <v>-594.6</v>
      </c>
      <c r="J1029" s="36">
        <f t="shared" si="228"/>
        <v>1410.3000000000002</v>
      </c>
      <c r="K1029" s="7">
        <f t="shared" si="231"/>
        <v>2159</v>
      </c>
      <c r="L1029" s="36">
        <f t="shared" si="224"/>
        <v>3569.3</v>
      </c>
      <c r="M1029" s="7">
        <f t="shared" si="231"/>
        <v>0</v>
      </c>
      <c r="N1029" s="36">
        <f t="shared" si="225"/>
        <v>3569.3</v>
      </c>
      <c r="O1029" s="7">
        <f t="shared" si="231"/>
        <v>0</v>
      </c>
      <c r="P1029" s="36">
        <f t="shared" si="221"/>
        <v>3569.3</v>
      </c>
      <c r="Q1029" s="7">
        <f t="shared" si="231"/>
        <v>806.1999999999999</v>
      </c>
      <c r="R1029" s="36">
        <f t="shared" si="218"/>
        <v>4375.5</v>
      </c>
    </row>
    <row r="1030" spans="1:18" ht="33">
      <c r="A1030" s="62" t="str">
        <f ca="1">IF(ISERROR(MATCH(E1030,Код_КВР,0)),"",INDIRECT(ADDRESS(MATCH(E1030,Код_КВР,0)+1,2,,,"КВР")))</f>
        <v>Капитальные вложения в объекты недвижимого имущества муниципальной собственности</v>
      </c>
      <c r="B1030" s="63" t="s">
        <v>73</v>
      </c>
      <c r="C1030" s="8" t="s">
        <v>224</v>
      </c>
      <c r="D1030" s="8" t="s">
        <v>227</v>
      </c>
      <c r="E1030" s="115">
        <v>400</v>
      </c>
      <c r="F1030" s="7">
        <f t="shared" si="231"/>
        <v>2004.9</v>
      </c>
      <c r="G1030" s="7">
        <f t="shared" si="231"/>
        <v>0</v>
      </c>
      <c r="H1030" s="36">
        <f t="shared" si="230"/>
        <v>2004.9</v>
      </c>
      <c r="I1030" s="7">
        <f t="shared" si="231"/>
        <v>-594.6</v>
      </c>
      <c r="J1030" s="36">
        <f t="shared" si="228"/>
        <v>1410.3000000000002</v>
      </c>
      <c r="K1030" s="7">
        <f t="shared" si="231"/>
        <v>2159</v>
      </c>
      <c r="L1030" s="36">
        <f t="shared" si="224"/>
        <v>3569.3</v>
      </c>
      <c r="M1030" s="7">
        <f t="shared" si="231"/>
        <v>0</v>
      </c>
      <c r="N1030" s="36">
        <f t="shared" si="225"/>
        <v>3569.3</v>
      </c>
      <c r="O1030" s="7">
        <f t="shared" si="231"/>
        <v>0</v>
      </c>
      <c r="P1030" s="36">
        <f t="shared" si="221"/>
        <v>3569.3</v>
      </c>
      <c r="Q1030" s="7">
        <f t="shared" si="231"/>
        <v>806.1999999999999</v>
      </c>
      <c r="R1030" s="36">
        <f t="shared" si="218"/>
        <v>4375.5</v>
      </c>
    </row>
    <row r="1031" spans="1:18" ht="12.75">
      <c r="A1031" s="62" t="str">
        <f ca="1">IF(ISERROR(MATCH(E1031,Код_КВР,0)),"",INDIRECT(ADDRESS(MATCH(E1031,Код_КВР,0)+1,2,,,"КВР")))</f>
        <v>Бюджетные инвестиции</v>
      </c>
      <c r="B1031" s="63" t="s">
        <v>73</v>
      </c>
      <c r="C1031" s="8" t="s">
        <v>224</v>
      </c>
      <c r="D1031" s="8" t="s">
        <v>227</v>
      </c>
      <c r="E1031" s="115">
        <v>410</v>
      </c>
      <c r="F1031" s="7">
        <f t="shared" si="231"/>
        <v>2004.9</v>
      </c>
      <c r="G1031" s="7">
        <f t="shared" si="231"/>
        <v>0</v>
      </c>
      <c r="H1031" s="36">
        <f t="shared" si="230"/>
        <v>2004.9</v>
      </c>
      <c r="I1031" s="7">
        <f t="shared" si="231"/>
        <v>-594.6</v>
      </c>
      <c r="J1031" s="36">
        <f t="shared" si="228"/>
        <v>1410.3000000000002</v>
      </c>
      <c r="K1031" s="7">
        <f t="shared" si="231"/>
        <v>2159</v>
      </c>
      <c r="L1031" s="36">
        <f t="shared" si="224"/>
        <v>3569.3</v>
      </c>
      <c r="M1031" s="7">
        <f t="shared" si="231"/>
        <v>0</v>
      </c>
      <c r="N1031" s="36">
        <f t="shared" si="225"/>
        <v>3569.3</v>
      </c>
      <c r="O1031" s="7">
        <f t="shared" si="231"/>
        <v>0</v>
      </c>
      <c r="P1031" s="36">
        <f t="shared" si="221"/>
        <v>3569.3</v>
      </c>
      <c r="Q1031" s="7">
        <f t="shared" si="231"/>
        <v>806.1999999999999</v>
      </c>
      <c r="R1031" s="36">
        <f t="shared" si="218"/>
        <v>4375.5</v>
      </c>
    </row>
    <row r="1032" spans="1:18" ht="33">
      <c r="A1032" s="62" t="str">
        <f ca="1">IF(ISERROR(MATCH(E1032,Код_КВР,0)),"",INDIRECT(ADDRESS(MATCH(E1032,Код_КВР,0)+1,2,,,"КВР")))</f>
        <v>Бюджетные инвестиции в объекты капитального строительства муниципальной собственности</v>
      </c>
      <c r="B1032" s="63" t="s">
        <v>73</v>
      </c>
      <c r="C1032" s="8" t="s">
        <v>224</v>
      </c>
      <c r="D1032" s="8" t="s">
        <v>227</v>
      </c>
      <c r="E1032" s="115">
        <v>414</v>
      </c>
      <c r="F1032" s="7">
        <f>'прил.5'!G1417</f>
        <v>2004.9</v>
      </c>
      <c r="G1032" s="7">
        <f>'прил.5'!H1417</f>
        <v>0</v>
      </c>
      <c r="H1032" s="36">
        <f t="shared" si="230"/>
        <v>2004.9</v>
      </c>
      <c r="I1032" s="7">
        <f>'прил.5'!J1417</f>
        <v>-594.6</v>
      </c>
      <c r="J1032" s="36">
        <f t="shared" si="228"/>
        <v>1410.3000000000002</v>
      </c>
      <c r="K1032" s="7">
        <f>'прил.5'!L1417</f>
        <v>2159</v>
      </c>
      <c r="L1032" s="36">
        <f t="shared" si="224"/>
        <v>3569.3</v>
      </c>
      <c r="M1032" s="7">
        <f>'прил.5'!N1417</f>
        <v>0</v>
      </c>
      <c r="N1032" s="36">
        <f t="shared" si="225"/>
        <v>3569.3</v>
      </c>
      <c r="O1032" s="7">
        <f>'прил.5'!P1417</f>
        <v>0</v>
      </c>
      <c r="P1032" s="36">
        <f t="shared" si="221"/>
        <v>3569.3</v>
      </c>
      <c r="Q1032" s="7">
        <f>'прил.5'!R1417</f>
        <v>806.1999999999999</v>
      </c>
      <c r="R1032" s="36">
        <f t="shared" si="218"/>
        <v>4375.5</v>
      </c>
    </row>
    <row r="1033" spans="1:18" ht="12.75">
      <c r="A1033" s="62" t="s">
        <v>238</v>
      </c>
      <c r="B1033" s="63" t="s">
        <v>73</v>
      </c>
      <c r="C1033" s="8" t="s">
        <v>224</v>
      </c>
      <c r="D1033" s="8" t="s">
        <v>196</v>
      </c>
      <c r="E1033" s="115"/>
      <c r="F1033" s="7"/>
      <c r="G1033" s="7"/>
      <c r="H1033" s="36"/>
      <c r="I1033" s="7"/>
      <c r="J1033" s="36"/>
      <c r="K1033" s="7">
        <f>K1034</f>
        <v>1150</v>
      </c>
      <c r="L1033" s="36">
        <f t="shared" si="224"/>
        <v>1150</v>
      </c>
      <c r="M1033" s="7">
        <f>M1034</f>
        <v>0</v>
      </c>
      <c r="N1033" s="36">
        <f t="shared" si="225"/>
        <v>1150</v>
      </c>
      <c r="O1033" s="7">
        <f>O1034</f>
        <v>0</v>
      </c>
      <c r="P1033" s="36">
        <f t="shared" si="221"/>
        <v>1150</v>
      </c>
      <c r="Q1033" s="7">
        <f>Q1034</f>
        <v>-56.3</v>
      </c>
      <c r="R1033" s="36">
        <f t="shared" si="218"/>
        <v>1093.7</v>
      </c>
    </row>
    <row r="1034" spans="1:18" ht="33">
      <c r="A1034" s="62" t="str">
        <f ca="1">IF(ISERROR(MATCH(E1034,Код_КВР,0)),"",INDIRECT(ADDRESS(MATCH(E1034,Код_КВР,0)+1,2,,,"КВР")))</f>
        <v>Капитальные вложения в объекты недвижимого имущества муниципальной собственности</v>
      </c>
      <c r="B1034" s="63" t="s">
        <v>73</v>
      </c>
      <c r="C1034" s="8" t="s">
        <v>224</v>
      </c>
      <c r="D1034" s="8" t="s">
        <v>196</v>
      </c>
      <c r="E1034" s="115">
        <v>400</v>
      </c>
      <c r="F1034" s="7"/>
      <c r="G1034" s="7"/>
      <c r="H1034" s="36"/>
      <c r="I1034" s="7"/>
      <c r="J1034" s="36"/>
      <c r="K1034" s="7">
        <f>K1035</f>
        <v>1150</v>
      </c>
      <c r="L1034" s="36">
        <f t="shared" si="224"/>
        <v>1150</v>
      </c>
      <c r="M1034" s="7">
        <f>M1035</f>
        <v>0</v>
      </c>
      <c r="N1034" s="36">
        <f t="shared" si="225"/>
        <v>1150</v>
      </c>
      <c r="O1034" s="7">
        <f>O1035</f>
        <v>0</v>
      </c>
      <c r="P1034" s="36">
        <f t="shared" si="221"/>
        <v>1150</v>
      </c>
      <c r="Q1034" s="7">
        <f>Q1035</f>
        <v>-56.3</v>
      </c>
      <c r="R1034" s="36">
        <f t="shared" si="218"/>
        <v>1093.7</v>
      </c>
    </row>
    <row r="1035" spans="1:18" ht="12.75">
      <c r="A1035" s="62" t="str">
        <f ca="1">IF(ISERROR(MATCH(E1035,Код_КВР,0)),"",INDIRECT(ADDRESS(MATCH(E1035,Код_КВР,0)+1,2,,,"КВР")))</f>
        <v>Бюджетные инвестиции</v>
      </c>
      <c r="B1035" s="63" t="s">
        <v>73</v>
      </c>
      <c r="C1035" s="8" t="s">
        <v>224</v>
      </c>
      <c r="D1035" s="8" t="s">
        <v>196</v>
      </c>
      <c r="E1035" s="115">
        <v>410</v>
      </c>
      <c r="F1035" s="7"/>
      <c r="G1035" s="7"/>
      <c r="H1035" s="36"/>
      <c r="I1035" s="7"/>
      <c r="J1035" s="36"/>
      <c r="K1035" s="7">
        <f>K1036</f>
        <v>1150</v>
      </c>
      <c r="L1035" s="36">
        <f t="shared" si="224"/>
        <v>1150</v>
      </c>
      <c r="M1035" s="7">
        <f>M1036</f>
        <v>0</v>
      </c>
      <c r="N1035" s="36">
        <f t="shared" si="225"/>
        <v>1150</v>
      </c>
      <c r="O1035" s="7">
        <f>O1036</f>
        <v>0</v>
      </c>
      <c r="P1035" s="36">
        <f t="shared" si="221"/>
        <v>1150</v>
      </c>
      <c r="Q1035" s="7">
        <f>Q1036</f>
        <v>-56.3</v>
      </c>
      <c r="R1035" s="36">
        <f t="shared" si="218"/>
        <v>1093.7</v>
      </c>
    </row>
    <row r="1036" spans="1:18" ht="33">
      <c r="A1036" s="62" t="str">
        <f ca="1">IF(ISERROR(MATCH(E1036,Код_КВР,0)),"",INDIRECT(ADDRESS(MATCH(E1036,Код_КВР,0)+1,2,,,"КВР")))</f>
        <v>Бюджетные инвестиции в объекты капитального строительства муниципальной собственности</v>
      </c>
      <c r="B1036" s="63" t="s">
        <v>73</v>
      </c>
      <c r="C1036" s="8" t="s">
        <v>224</v>
      </c>
      <c r="D1036" s="8" t="s">
        <v>196</v>
      </c>
      <c r="E1036" s="115">
        <v>414</v>
      </c>
      <c r="F1036" s="7"/>
      <c r="G1036" s="7"/>
      <c r="H1036" s="36"/>
      <c r="I1036" s="7"/>
      <c r="J1036" s="36"/>
      <c r="K1036" s="7">
        <f>'прил.5'!L1440</f>
        <v>1150</v>
      </c>
      <c r="L1036" s="36">
        <f t="shared" si="224"/>
        <v>1150</v>
      </c>
      <c r="M1036" s="7">
        <f>'прил.5'!N1440</f>
        <v>0</v>
      </c>
      <c r="N1036" s="36">
        <f t="shared" si="225"/>
        <v>1150</v>
      </c>
      <c r="O1036" s="7">
        <f>'прил.5'!P1440</f>
        <v>0</v>
      </c>
      <c r="P1036" s="36">
        <f t="shared" si="221"/>
        <v>1150</v>
      </c>
      <c r="Q1036" s="7">
        <f>'прил.5'!R1440</f>
        <v>-56.3</v>
      </c>
      <c r="R1036" s="36">
        <f t="shared" si="218"/>
        <v>1093.7</v>
      </c>
    </row>
    <row r="1037" spans="1:18" ht="12.75">
      <c r="A1037" s="12" t="s">
        <v>231</v>
      </c>
      <c r="B1037" s="63" t="s">
        <v>73</v>
      </c>
      <c r="C1037" s="8" t="s">
        <v>224</v>
      </c>
      <c r="D1037" s="8" t="s">
        <v>204</v>
      </c>
      <c r="E1037" s="129"/>
      <c r="F1037" s="7"/>
      <c r="G1037" s="7"/>
      <c r="H1037" s="36"/>
      <c r="I1037" s="7"/>
      <c r="J1037" s="36"/>
      <c r="K1037" s="7"/>
      <c r="L1037" s="36"/>
      <c r="M1037" s="7"/>
      <c r="N1037" s="36"/>
      <c r="O1037" s="7"/>
      <c r="P1037" s="36"/>
      <c r="Q1037" s="7">
        <f>Q1038</f>
        <v>3008.8</v>
      </c>
      <c r="R1037" s="36">
        <f t="shared" si="218"/>
        <v>3008.8</v>
      </c>
    </row>
    <row r="1038" spans="1:18" ht="33">
      <c r="A1038" s="62" t="str">
        <f ca="1">IF(ISERROR(MATCH(E1038,Код_КВР,0)),"",INDIRECT(ADDRESS(MATCH(E1038,Код_КВР,0)+1,2,,,"КВР")))</f>
        <v>Капитальные вложения в объекты недвижимого имущества муниципальной собственности</v>
      </c>
      <c r="B1038" s="63" t="s">
        <v>73</v>
      </c>
      <c r="C1038" s="8" t="s">
        <v>224</v>
      </c>
      <c r="D1038" s="8" t="s">
        <v>204</v>
      </c>
      <c r="E1038" s="129">
        <v>400</v>
      </c>
      <c r="F1038" s="7"/>
      <c r="G1038" s="7"/>
      <c r="H1038" s="36"/>
      <c r="I1038" s="7"/>
      <c r="J1038" s="36"/>
      <c r="K1038" s="7"/>
      <c r="L1038" s="36"/>
      <c r="M1038" s="7"/>
      <c r="N1038" s="36"/>
      <c r="O1038" s="7"/>
      <c r="P1038" s="36"/>
      <c r="Q1038" s="7">
        <f>Q1039</f>
        <v>3008.8</v>
      </c>
      <c r="R1038" s="36">
        <f t="shared" si="218"/>
        <v>3008.8</v>
      </c>
    </row>
    <row r="1039" spans="1:18" ht="12.75">
      <c r="A1039" s="62" t="str">
        <f ca="1">IF(ISERROR(MATCH(E1039,Код_КВР,0)),"",INDIRECT(ADDRESS(MATCH(E1039,Код_КВР,0)+1,2,,,"КВР")))</f>
        <v>Бюджетные инвестиции</v>
      </c>
      <c r="B1039" s="63" t="s">
        <v>73</v>
      </c>
      <c r="C1039" s="8" t="s">
        <v>224</v>
      </c>
      <c r="D1039" s="8" t="s">
        <v>204</v>
      </c>
      <c r="E1039" s="129">
        <v>410</v>
      </c>
      <c r="F1039" s="7"/>
      <c r="G1039" s="7"/>
      <c r="H1039" s="36"/>
      <c r="I1039" s="7"/>
      <c r="J1039" s="36"/>
      <c r="K1039" s="7"/>
      <c r="L1039" s="36"/>
      <c r="M1039" s="7"/>
      <c r="N1039" s="36"/>
      <c r="O1039" s="7"/>
      <c r="P1039" s="36"/>
      <c r="Q1039" s="7">
        <f>Q1040</f>
        <v>3008.8</v>
      </c>
      <c r="R1039" s="36">
        <f t="shared" si="218"/>
        <v>3008.8</v>
      </c>
    </row>
    <row r="1040" spans="1:18" ht="33">
      <c r="A1040" s="62" t="str">
        <f ca="1">IF(ISERROR(MATCH(E1040,Код_КВР,0)),"",INDIRECT(ADDRESS(MATCH(E1040,Код_КВР,0)+1,2,,,"КВР")))</f>
        <v>Бюджетные инвестиции в объекты капитального строительства муниципальной собственности</v>
      </c>
      <c r="B1040" s="63" t="s">
        <v>73</v>
      </c>
      <c r="C1040" s="8" t="s">
        <v>224</v>
      </c>
      <c r="D1040" s="8" t="s">
        <v>204</v>
      </c>
      <c r="E1040" s="129">
        <v>414</v>
      </c>
      <c r="F1040" s="7"/>
      <c r="G1040" s="7"/>
      <c r="H1040" s="36"/>
      <c r="I1040" s="7"/>
      <c r="J1040" s="36"/>
      <c r="K1040" s="7"/>
      <c r="L1040" s="36"/>
      <c r="M1040" s="7"/>
      <c r="N1040" s="36"/>
      <c r="O1040" s="7"/>
      <c r="P1040" s="36"/>
      <c r="Q1040" s="7">
        <f>'прил.5'!R1456</f>
        <v>3008.8</v>
      </c>
      <c r="R1040" s="36">
        <f t="shared" si="218"/>
        <v>3008.8</v>
      </c>
    </row>
    <row r="1041" spans="1:18" ht="12.75">
      <c r="A1041" s="62" t="str">
        <f ca="1">IF(ISERROR(MATCH(C1041,Код_Раздел,0)),"",INDIRECT(ADDRESS(MATCH(C1041,Код_Раздел,0)+1,2,,,"Раздел")))</f>
        <v>Жилищно-коммунальное хозяйство</v>
      </c>
      <c r="B1041" s="63" t="s">
        <v>73</v>
      </c>
      <c r="C1041" s="8" t="s">
        <v>229</v>
      </c>
      <c r="D1041" s="1"/>
      <c r="E1041" s="115"/>
      <c r="F1041" s="7">
        <f aca="true" t="shared" si="232" ref="F1041:Q1044">F1042</f>
        <v>5000</v>
      </c>
      <c r="G1041" s="7">
        <f t="shared" si="232"/>
        <v>0</v>
      </c>
      <c r="H1041" s="36">
        <f t="shared" si="230"/>
        <v>5000</v>
      </c>
      <c r="I1041" s="7">
        <f t="shared" si="232"/>
        <v>0</v>
      </c>
      <c r="J1041" s="36">
        <f t="shared" si="228"/>
        <v>5000</v>
      </c>
      <c r="K1041" s="7">
        <f t="shared" si="232"/>
        <v>0</v>
      </c>
      <c r="L1041" s="36">
        <f t="shared" si="224"/>
        <v>5000</v>
      </c>
      <c r="M1041" s="7">
        <f t="shared" si="232"/>
        <v>3842.2</v>
      </c>
      <c r="N1041" s="36">
        <f t="shared" si="225"/>
        <v>8842.2</v>
      </c>
      <c r="O1041" s="7">
        <f t="shared" si="232"/>
        <v>0</v>
      </c>
      <c r="P1041" s="36">
        <f t="shared" si="221"/>
        <v>8842.2</v>
      </c>
      <c r="Q1041" s="7">
        <f t="shared" si="232"/>
        <v>0</v>
      </c>
      <c r="R1041" s="36">
        <f t="shared" si="218"/>
        <v>8842.2</v>
      </c>
    </row>
    <row r="1042" spans="1:18" ht="12.75">
      <c r="A1042" s="62" t="s">
        <v>260</v>
      </c>
      <c r="B1042" s="63" t="s">
        <v>73</v>
      </c>
      <c r="C1042" s="8" t="s">
        <v>229</v>
      </c>
      <c r="D1042" s="8" t="s">
        <v>223</v>
      </c>
      <c r="E1042" s="115"/>
      <c r="F1042" s="7">
        <f t="shared" si="232"/>
        <v>5000</v>
      </c>
      <c r="G1042" s="7">
        <f t="shared" si="232"/>
        <v>0</v>
      </c>
      <c r="H1042" s="36">
        <f t="shared" si="230"/>
        <v>5000</v>
      </c>
      <c r="I1042" s="7">
        <f t="shared" si="232"/>
        <v>0</v>
      </c>
      <c r="J1042" s="36">
        <f t="shared" si="228"/>
        <v>5000</v>
      </c>
      <c r="K1042" s="7">
        <f t="shared" si="232"/>
        <v>0</v>
      </c>
      <c r="L1042" s="36">
        <f t="shared" si="224"/>
        <v>5000</v>
      </c>
      <c r="M1042" s="7">
        <f t="shared" si="232"/>
        <v>3842.2</v>
      </c>
      <c r="N1042" s="36">
        <f t="shared" si="225"/>
        <v>8842.2</v>
      </c>
      <c r="O1042" s="7">
        <f t="shared" si="232"/>
        <v>0</v>
      </c>
      <c r="P1042" s="36">
        <f t="shared" si="221"/>
        <v>8842.2</v>
      </c>
      <c r="Q1042" s="7">
        <f t="shared" si="232"/>
        <v>0</v>
      </c>
      <c r="R1042" s="36">
        <f t="shared" si="218"/>
        <v>8842.2</v>
      </c>
    </row>
    <row r="1043" spans="1:18" ht="33">
      <c r="A1043" s="62" t="str">
        <f ca="1">IF(ISERROR(MATCH(E1043,Код_КВР,0)),"",INDIRECT(ADDRESS(MATCH(E1043,Код_КВР,0)+1,2,,,"КВР")))</f>
        <v>Капитальные вложения в объекты недвижимого имущества муниципальной собственности</v>
      </c>
      <c r="B1043" s="63" t="s">
        <v>73</v>
      </c>
      <c r="C1043" s="8" t="s">
        <v>229</v>
      </c>
      <c r="D1043" s="8" t="s">
        <v>223</v>
      </c>
      <c r="E1043" s="115">
        <v>400</v>
      </c>
      <c r="F1043" s="7">
        <f t="shared" si="232"/>
        <v>5000</v>
      </c>
      <c r="G1043" s="7">
        <f t="shared" si="232"/>
        <v>0</v>
      </c>
      <c r="H1043" s="36">
        <f t="shared" si="230"/>
        <v>5000</v>
      </c>
      <c r="I1043" s="7">
        <f t="shared" si="232"/>
        <v>0</v>
      </c>
      <c r="J1043" s="36">
        <f t="shared" si="228"/>
        <v>5000</v>
      </c>
      <c r="K1043" s="7">
        <f t="shared" si="232"/>
        <v>0</v>
      </c>
      <c r="L1043" s="36">
        <f t="shared" si="224"/>
        <v>5000</v>
      </c>
      <c r="M1043" s="7">
        <f t="shared" si="232"/>
        <v>3842.2</v>
      </c>
      <c r="N1043" s="36">
        <f t="shared" si="225"/>
        <v>8842.2</v>
      </c>
      <c r="O1043" s="7">
        <f t="shared" si="232"/>
        <v>0</v>
      </c>
      <c r="P1043" s="36">
        <f t="shared" si="221"/>
        <v>8842.2</v>
      </c>
      <c r="Q1043" s="7">
        <f t="shared" si="232"/>
        <v>0</v>
      </c>
      <c r="R1043" s="36">
        <f t="shared" si="218"/>
        <v>8842.2</v>
      </c>
    </row>
    <row r="1044" spans="1:18" ht="12.75">
      <c r="A1044" s="62" t="str">
        <f ca="1">IF(ISERROR(MATCH(E1044,Код_КВР,0)),"",INDIRECT(ADDRESS(MATCH(E1044,Код_КВР,0)+1,2,,,"КВР")))</f>
        <v>Бюджетные инвестиции</v>
      </c>
      <c r="B1044" s="63" t="s">
        <v>73</v>
      </c>
      <c r="C1044" s="8" t="s">
        <v>229</v>
      </c>
      <c r="D1044" s="8" t="s">
        <v>223</v>
      </c>
      <c r="E1044" s="115">
        <v>410</v>
      </c>
      <c r="F1044" s="7">
        <f t="shared" si="232"/>
        <v>5000</v>
      </c>
      <c r="G1044" s="7">
        <f t="shared" si="232"/>
        <v>0</v>
      </c>
      <c r="H1044" s="36">
        <f t="shared" si="230"/>
        <v>5000</v>
      </c>
      <c r="I1044" s="7">
        <f t="shared" si="232"/>
        <v>0</v>
      </c>
      <c r="J1044" s="36">
        <f t="shared" si="228"/>
        <v>5000</v>
      </c>
      <c r="K1044" s="7">
        <f t="shared" si="232"/>
        <v>0</v>
      </c>
      <c r="L1044" s="36">
        <f t="shared" si="224"/>
        <v>5000</v>
      </c>
      <c r="M1044" s="7">
        <f t="shared" si="232"/>
        <v>3842.2</v>
      </c>
      <c r="N1044" s="36">
        <f t="shared" si="225"/>
        <v>8842.2</v>
      </c>
      <c r="O1044" s="7">
        <f t="shared" si="232"/>
        <v>0</v>
      </c>
      <c r="P1044" s="36">
        <f t="shared" si="221"/>
        <v>8842.2</v>
      </c>
      <c r="Q1044" s="7">
        <f t="shared" si="232"/>
        <v>0</v>
      </c>
      <c r="R1044" s="36">
        <f t="shared" si="218"/>
        <v>8842.2</v>
      </c>
    </row>
    <row r="1045" spans="1:18" ht="33">
      <c r="A1045" s="62" t="str">
        <f ca="1">IF(ISERROR(MATCH(E1045,Код_КВР,0)),"",INDIRECT(ADDRESS(MATCH(E1045,Код_КВР,0)+1,2,,,"КВР")))</f>
        <v>Бюджетные инвестиции в объекты капитального строительства муниципальной собственности</v>
      </c>
      <c r="B1045" s="63" t="s">
        <v>73</v>
      </c>
      <c r="C1045" s="8" t="s">
        <v>229</v>
      </c>
      <c r="D1045" s="8" t="s">
        <v>223</v>
      </c>
      <c r="E1045" s="115">
        <v>414</v>
      </c>
      <c r="F1045" s="7">
        <f>'прил.5'!G1510</f>
        <v>5000</v>
      </c>
      <c r="G1045" s="7">
        <f>'прил.5'!H1510</f>
        <v>0</v>
      </c>
      <c r="H1045" s="36">
        <f t="shared" si="230"/>
        <v>5000</v>
      </c>
      <c r="I1045" s="7">
        <f>'прил.5'!J1510</f>
        <v>0</v>
      </c>
      <c r="J1045" s="36">
        <f t="shared" si="228"/>
        <v>5000</v>
      </c>
      <c r="K1045" s="7">
        <f>'прил.5'!L1510</f>
        <v>0</v>
      </c>
      <c r="L1045" s="36">
        <f t="shared" si="224"/>
        <v>5000</v>
      </c>
      <c r="M1045" s="7">
        <f>'прил.5'!N1510</f>
        <v>3842.2</v>
      </c>
      <c r="N1045" s="36">
        <f t="shared" si="225"/>
        <v>8842.2</v>
      </c>
      <c r="O1045" s="7">
        <f>'прил.5'!P1510</f>
        <v>0</v>
      </c>
      <c r="P1045" s="36">
        <f t="shared" si="221"/>
        <v>8842.2</v>
      </c>
      <c r="Q1045" s="7">
        <f>'прил.5'!R1510</f>
        <v>0</v>
      </c>
      <c r="R1045" s="36">
        <f t="shared" si="218"/>
        <v>8842.2</v>
      </c>
    </row>
    <row r="1046" spans="1:18" ht="12.75">
      <c r="A1046" s="62" t="str">
        <f ca="1">IF(ISERROR(MATCH(C1046,Код_Раздел,0)),"",INDIRECT(ADDRESS(MATCH(C1046,Код_Раздел,0)+1,2,,,"Раздел")))</f>
        <v>Образование</v>
      </c>
      <c r="B1046" s="63" t="s">
        <v>73</v>
      </c>
      <c r="C1046" s="8" t="s">
        <v>203</v>
      </c>
      <c r="D1046" s="1"/>
      <c r="E1046" s="115"/>
      <c r="F1046" s="7">
        <f aca="true" t="shared" si="233" ref="F1046:Q1049">F1047</f>
        <v>178.8</v>
      </c>
      <c r="G1046" s="7">
        <f t="shared" si="233"/>
        <v>0</v>
      </c>
      <c r="H1046" s="36">
        <f t="shared" si="230"/>
        <v>178.8</v>
      </c>
      <c r="I1046" s="7">
        <f t="shared" si="233"/>
        <v>0</v>
      </c>
      <c r="J1046" s="36">
        <f t="shared" si="228"/>
        <v>178.8</v>
      </c>
      <c r="K1046" s="7">
        <f t="shared" si="233"/>
        <v>2500</v>
      </c>
      <c r="L1046" s="36">
        <f t="shared" si="224"/>
        <v>2678.8</v>
      </c>
      <c r="M1046" s="7">
        <f t="shared" si="233"/>
        <v>0</v>
      </c>
      <c r="N1046" s="36">
        <f t="shared" si="225"/>
        <v>2678.8</v>
      </c>
      <c r="O1046" s="7">
        <f t="shared" si="233"/>
        <v>3959.5</v>
      </c>
      <c r="P1046" s="36">
        <f t="shared" si="221"/>
        <v>6638.3</v>
      </c>
      <c r="Q1046" s="7">
        <f t="shared" si="233"/>
        <v>213.5</v>
      </c>
      <c r="R1046" s="36">
        <f t="shared" si="218"/>
        <v>6851.8</v>
      </c>
    </row>
    <row r="1047" spans="1:18" ht="12.75">
      <c r="A1047" s="12" t="s">
        <v>259</v>
      </c>
      <c r="B1047" s="63" t="s">
        <v>73</v>
      </c>
      <c r="C1047" s="8" t="s">
        <v>203</v>
      </c>
      <c r="D1047" s="1" t="s">
        <v>227</v>
      </c>
      <c r="E1047" s="115"/>
      <c r="F1047" s="7">
        <f t="shared" si="233"/>
        <v>178.8</v>
      </c>
      <c r="G1047" s="7">
        <f t="shared" si="233"/>
        <v>0</v>
      </c>
      <c r="H1047" s="36">
        <f t="shared" si="230"/>
        <v>178.8</v>
      </c>
      <c r="I1047" s="7">
        <f t="shared" si="233"/>
        <v>0</v>
      </c>
      <c r="J1047" s="36">
        <f t="shared" si="228"/>
        <v>178.8</v>
      </c>
      <c r="K1047" s="7">
        <f t="shared" si="233"/>
        <v>2500</v>
      </c>
      <c r="L1047" s="36">
        <f t="shared" si="224"/>
        <v>2678.8</v>
      </c>
      <c r="M1047" s="7">
        <f t="shared" si="233"/>
        <v>0</v>
      </c>
      <c r="N1047" s="36">
        <f t="shared" si="225"/>
        <v>2678.8</v>
      </c>
      <c r="O1047" s="7">
        <f t="shared" si="233"/>
        <v>3959.5</v>
      </c>
      <c r="P1047" s="36">
        <f t="shared" si="221"/>
        <v>6638.3</v>
      </c>
      <c r="Q1047" s="7">
        <f t="shared" si="233"/>
        <v>213.5</v>
      </c>
      <c r="R1047" s="36">
        <f t="shared" si="218"/>
        <v>6851.8</v>
      </c>
    </row>
    <row r="1048" spans="1:18" ht="33">
      <c r="A1048" s="62" t="str">
        <f ca="1">IF(ISERROR(MATCH(E1048,Код_КВР,0)),"",INDIRECT(ADDRESS(MATCH(E1048,Код_КВР,0)+1,2,,,"КВР")))</f>
        <v>Капитальные вложения в объекты недвижимого имущества муниципальной собственности</v>
      </c>
      <c r="B1048" s="63" t="s">
        <v>73</v>
      </c>
      <c r="C1048" s="8" t="s">
        <v>203</v>
      </c>
      <c r="D1048" s="1" t="s">
        <v>227</v>
      </c>
      <c r="E1048" s="115">
        <v>400</v>
      </c>
      <c r="F1048" s="7">
        <f t="shared" si="233"/>
        <v>178.8</v>
      </c>
      <c r="G1048" s="7">
        <f t="shared" si="233"/>
        <v>0</v>
      </c>
      <c r="H1048" s="36">
        <f t="shared" si="230"/>
        <v>178.8</v>
      </c>
      <c r="I1048" s="7">
        <f t="shared" si="233"/>
        <v>0</v>
      </c>
      <c r="J1048" s="36">
        <f t="shared" si="228"/>
        <v>178.8</v>
      </c>
      <c r="K1048" s="7">
        <f t="shared" si="233"/>
        <v>2500</v>
      </c>
      <c r="L1048" s="36">
        <f t="shared" si="224"/>
        <v>2678.8</v>
      </c>
      <c r="M1048" s="7">
        <f t="shared" si="233"/>
        <v>0</v>
      </c>
      <c r="N1048" s="36">
        <f t="shared" si="225"/>
        <v>2678.8</v>
      </c>
      <c r="O1048" s="7">
        <f t="shared" si="233"/>
        <v>3959.5</v>
      </c>
      <c r="P1048" s="36">
        <f t="shared" si="221"/>
        <v>6638.3</v>
      </c>
      <c r="Q1048" s="7">
        <f t="shared" si="233"/>
        <v>213.5</v>
      </c>
      <c r="R1048" s="36">
        <f t="shared" si="218"/>
        <v>6851.8</v>
      </c>
    </row>
    <row r="1049" spans="1:18" ht="12.75">
      <c r="A1049" s="62" t="str">
        <f ca="1">IF(ISERROR(MATCH(E1049,Код_КВР,0)),"",INDIRECT(ADDRESS(MATCH(E1049,Код_КВР,0)+1,2,,,"КВР")))</f>
        <v>Бюджетные инвестиции</v>
      </c>
      <c r="B1049" s="63" t="s">
        <v>73</v>
      </c>
      <c r="C1049" s="8" t="s">
        <v>203</v>
      </c>
      <c r="D1049" s="1" t="s">
        <v>227</v>
      </c>
      <c r="E1049" s="115">
        <v>410</v>
      </c>
      <c r="F1049" s="7">
        <f t="shared" si="233"/>
        <v>178.8</v>
      </c>
      <c r="G1049" s="7">
        <f t="shared" si="233"/>
        <v>0</v>
      </c>
      <c r="H1049" s="36">
        <f t="shared" si="230"/>
        <v>178.8</v>
      </c>
      <c r="I1049" s="7">
        <f t="shared" si="233"/>
        <v>0</v>
      </c>
      <c r="J1049" s="36">
        <f t="shared" si="228"/>
        <v>178.8</v>
      </c>
      <c r="K1049" s="7">
        <f t="shared" si="233"/>
        <v>2500</v>
      </c>
      <c r="L1049" s="36">
        <f t="shared" si="224"/>
        <v>2678.8</v>
      </c>
      <c r="M1049" s="7">
        <f t="shared" si="233"/>
        <v>0</v>
      </c>
      <c r="N1049" s="36">
        <f t="shared" si="225"/>
        <v>2678.8</v>
      </c>
      <c r="O1049" s="7">
        <f t="shared" si="233"/>
        <v>3959.5</v>
      </c>
      <c r="P1049" s="36">
        <f t="shared" si="221"/>
        <v>6638.3</v>
      </c>
      <c r="Q1049" s="7">
        <f t="shared" si="233"/>
        <v>213.5</v>
      </c>
      <c r="R1049" s="36">
        <f aca="true" t="shared" si="234" ref="R1049:R1152">P1049+Q1049</f>
        <v>6851.8</v>
      </c>
    </row>
    <row r="1050" spans="1:18" ht="33">
      <c r="A1050" s="62" t="str">
        <f ca="1">IF(ISERROR(MATCH(E1050,Код_КВР,0)),"",INDIRECT(ADDRESS(MATCH(E1050,Код_КВР,0)+1,2,,,"КВР")))</f>
        <v>Бюджетные инвестиции в объекты капитального строительства муниципальной собственности</v>
      </c>
      <c r="B1050" s="63" t="s">
        <v>73</v>
      </c>
      <c r="C1050" s="8" t="s">
        <v>203</v>
      </c>
      <c r="D1050" s="1" t="s">
        <v>227</v>
      </c>
      <c r="E1050" s="115">
        <v>414</v>
      </c>
      <c r="F1050" s="7">
        <f>'прил.5'!G1537</f>
        <v>178.8</v>
      </c>
      <c r="G1050" s="7">
        <f>'прил.5'!H1537</f>
        <v>0</v>
      </c>
      <c r="H1050" s="36">
        <f t="shared" si="230"/>
        <v>178.8</v>
      </c>
      <c r="I1050" s="7">
        <f>'прил.5'!J1537</f>
        <v>0</v>
      </c>
      <c r="J1050" s="36">
        <f t="shared" si="228"/>
        <v>178.8</v>
      </c>
      <c r="K1050" s="7">
        <f>'прил.5'!L1537</f>
        <v>2500</v>
      </c>
      <c r="L1050" s="36">
        <f t="shared" si="224"/>
        <v>2678.8</v>
      </c>
      <c r="M1050" s="7">
        <f>'прил.5'!N1537</f>
        <v>0</v>
      </c>
      <c r="N1050" s="36">
        <f t="shared" si="225"/>
        <v>2678.8</v>
      </c>
      <c r="O1050" s="7">
        <f>'прил.5'!P1537</f>
        <v>3959.5</v>
      </c>
      <c r="P1050" s="36">
        <f t="shared" si="221"/>
        <v>6638.3</v>
      </c>
      <c r="Q1050" s="7">
        <f>'прил.5'!R1537</f>
        <v>213.5</v>
      </c>
      <c r="R1050" s="36">
        <f t="shared" si="234"/>
        <v>6851.8</v>
      </c>
    </row>
    <row r="1051" spans="1:18" ht="12.75">
      <c r="A1051" s="62" t="str">
        <f ca="1">IF(ISERROR(MATCH(C1051,Код_Раздел,0)),"",INDIRECT(ADDRESS(MATCH(C1051,Код_Раздел,0)+1,2,,,"Раздел")))</f>
        <v>Культура, кинематография</v>
      </c>
      <c r="B1051" s="63" t="s">
        <v>73</v>
      </c>
      <c r="C1051" s="8" t="s">
        <v>230</v>
      </c>
      <c r="D1051" s="1"/>
      <c r="E1051" s="129"/>
      <c r="F1051" s="7"/>
      <c r="G1051" s="7"/>
      <c r="H1051" s="36"/>
      <c r="I1051" s="7"/>
      <c r="J1051" s="36"/>
      <c r="K1051" s="7"/>
      <c r="L1051" s="36"/>
      <c r="M1051" s="7"/>
      <c r="N1051" s="36"/>
      <c r="O1051" s="7"/>
      <c r="P1051" s="36"/>
      <c r="Q1051" s="7">
        <f>Q1052</f>
        <v>5719.1</v>
      </c>
      <c r="R1051" s="36">
        <f t="shared" si="234"/>
        <v>5719.1</v>
      </c>
    </row>
    <row r="1052" spans="1:18" ht="20.25" customHeight="1">
      <c r="A1052" s="12" t="s">
        <v>171</v>
      </c>
      <c r="B1052" s="63" t="s">
        <v>73</v>
      </c>
      <c r="C1052" s="8" t="s">
        <v>230</v>
      </c>
      <c r="D1052" s="1" t="s">
        <v>224</v>
      </c>
      <c r="E1052" s="129"/>
      <c r="F1052" s="7"/>
      <c r="G1052" s="7"/>
      <c r="H1052" s="36"/>
      <c r="I1052" s="7"/>
      <c r="J1052" s="36"/>
      <c r="K1052" s="7"/>
      <c r="L1052" s="36"/>
      <c r="M1052" s="7"/>
      <c r="N1052" s="36"/>
      <c r="O1052" s="7"/>
      <c r="P1052" s="36"/>
      <c r="Q1052" s="7">
        <f>Q1053</f>
        <v>5719.1</v>
      </c>
      <c r="R1052" s="36">
        <f t="shared" si="234"/>
        <v>5719.1</v>
      </c>
    </row>
    <row r="1053" spans="1:18" ht="33">
      <c r="A1053" s="62" t="str">
        <f ca="1">IF(ISERROR(MATCH(E1053,Код_КВР,0)),"",INDIRECT(ADDRESS(MATCH(E1053,Код_КВР,0)+1,2,,,"КВР")))</f>
        <v>Капитальные вложения в объекты недвижимого имущества муниципальной собственности</v>
      </c>
      <c r="B1053" s="63" t="s">
        <v>73</v>
      </c>
      <c r="C1053" s="8" t="s">
        <v>230</v>
      </c>
      <c r="D1053" s="1" t="s">
        <v>224</v>
      </c>
      <c r="E1053" s="129">
        <v>400</v>
      </c>
      <c r="F1053" s="7"/>
      <c r="G1053" s="7"/>
      <c r="H1053" s="36"/>
      <c r="I1053" s="7"/>
      <c r="J1053" s="36"/>
      <c r="K1053" s="7"/>
      <c r="L1053" s="36"/>
      <c r="M1053" s="7"/>
      <c r="N1053" s="36"/>
      <c r="O1053" s="7"/>
      <c r="P1053" s="36"/>
      <c r="Q1053" s="7">
        <f>Q1054</f>
        <v>5719.1</v>
      </c>
      <c r="R1053" s="36">
        <f t="shared" si="234"/>
        <v>5719.1</v>
      </c>
    </row>
    <row r="1054" spans="1:18" ht="12.75">
      <c r="A1054" s="62" t="str">
        <f ca="1">IF(ISERROR(MATCH(E1054,Код_КВР,0)),"",INDIRECT(ADDRESS(MATCH(E1054,Код_КВР,0)+1,2,,,"КВР")))</f>
        <v>Бюджетные инвестиции</v>
      </c>
      <c r="B1054" s="63" t="s">
        <v>73</v>
      </c>
      <c r="C1054" s="8" t="s">
        <v>230</v>
      </c>
      <c r="D1054" s="1" t="s">
        <v>224</v>
      </c>
      <c r="E1054" s="129">
        <v>410</v>
      </c>
      <c r="F1054" s="7"/>
      <c r="G1054" s="7"/>
      <c r="H1054" s="36"/>
      <c r="I1054" s="7"/>
      <c r="J1054" s="36"/>
      <c r="K1054" s="7"/>
      <c r="L1054" s="36"/>
      <c r="M1054" s="7"/>
      <c r="N1054" s="36"/>
      <c r="O1054" s="7"/>
      <c r="P1054" s="36"/>
      <c r="Q1054" s="7">
        <f>Q1055</f>
        <v>5719.1</v>
      </c>
      <c r="R1054" s="36">
        <f t="shared" si="234"/>
        <v>5719.1</v>
      </c>
    </row>
    <row r="1055" spans="1:18" ht="33">
      <c r="A1055" s="62" t="str">
        <f ca="1">IF(ISERROR(MATCH(E1055,Код_КВР,0)),"",INDIRECT(ADDRESS(MATCH(E1055,Код_КВР,0)+1,2,,,"КВР")))</f>
        <v>Бюджетные инвестиции в объекты капитального строительства муниципальной собственности</v>
      </c>
      <c r="B1055" s="63" t="s">
        <v>73</v>
      </c>
      <c r="C1055" s="8" t="s">
        <v>230</v>
      </c>
      <c r="D1055" s="1" t="s">
        <v>224</v>
      </c>
      <c r="E1055" s="129">
        <v>414</v>
      </c>
      <c r="F1055" s="7"/>
      <c r="G1055" s="7"/>
      <c r="H1055" s="36"/>
      <c r="I1055" s="7"/>
      <c r="J1055" s="36"/>
      <c r="K1055" s="7"/>
      <c r="L1055" s="36"/>
      <c r="M1055" s="7"/>
      <c r="N1055" s="36"/>
      <c r="O1055" s="7"/>
      <c r="P1055" s="36"/>
      <c r="Q1055" s="7">
        <f>'прил.5'!R1574</f>
        <v>5719.1</v>
      </c>
      <c r="R1055" s="36">
        <f t="shared" si="234"/>
        <v>5719.1</v>
      </c>
    </row>
    <row r="1056" spans="1:18" ht="12.75">
      <c r="A1056" s="62" t="str">
        <f ca="1">IF(ISERROR(MATCH(C1056,Код_Раздел,0)),"",INDIRECT(ADDRESS(MATCH(C1056,Код_Раздел,0)+1,2,,,"Раздел")))</f>
        <v>Физическая культура и спорт</v>
      </c>
      <c r="B1056" s="63" t="s">
        <v>73</v>
      </c>
      <c r="C1056" s="8" t="s">
        <v>232</v>
      </c>
      <c r="D1056" s="1"/>
      <c r="E1056" s="115"/>
      <c r="F1056" s="7">
        <f aca="true" t="shared" si="235" ref="F1056:Q1059">F1057</f>
        <v>10000</v>
      </c>
      <c r="G1056" s="7">
        <f t="shared" si="235"/>
        <v>0</v>
      </c>
      <c r="H1056" s="36">
        <f t="shared" si="230"/>
        <v>10000</v>
      </c>
      <c r="I1056" s="7">
        <f t="shared" si="235"/>
        <v>0</v>
      </c>
      <c r="J1056" s="36">
        <f t="shared" si="228"/>
        <v>10000</v>
      </c>
      <c r="K1056" s="7">
        <f t="shared" si="235"/>
        <v>0</v>
      </c>
      <c r="L1056" s="36">
        <f t="shared" si="224"/>
        <v>10000</v>
      </c>
      <c r="M1056" s="7">
        <f t="shared" si="235"/>
        <v>0</v>
      </c>
      <c r="N1056" s="36">
        <f t="shared" si="225"/>
        <v>10000</v>
      </c>
      <c r="O1056" s="7">
        <f t="shared" si="235"/>
        <v>0</v>
      </c>
      <c r="P1056" s="36">
        <f t="shared" si="221"/>
        <v>10000</v>
      </c>
      <c r="Q1056" s="7">
        <f t="shared" si="235"/>
        <v>0</v>
      </c>
      <c r="R1056" s="36">
        <f t="shared" si="234"/>
        <v>10000</v>
      </c>
    </row>
    <row r="1057" spans="1:18" ht="12.75">
      <c r="A1057" s="12" t="s">
        <v>200</v>
      </c>
      <c r="B1057" s="63" t="s">
        <v>73</v>
      </c>
      <c r="C1057" s="8" t="s">
        <v>232</v>
      </c>
      <c r="D1057" s="1" t="s">
        <v>229</v>
      </c>
      <c r="E1057" s="115"/>
      <c r="F1057" s="7">
        <f t="shared" si="235"/>
        <v>10000</v>
      </c>
      <c r="G1057" s="7">
        <f t="shared" si="235"/>
        <v>0</v>
      </c>
      <c r="H1057" s="36">
        <f t="shared" si="230"/>
        <v>10000</v>
      </c>
      <c r="I1057" s="7">
        <f t="shared" si="235"/>
        <v>0</v>
      </c>
      <c r="J1057" s="36">
        <f t="shared" si="228"/>
        <v>10000</v>
      </c>
      <c r="K1057" s="7">
        <f t="shared" si="235"/>
        <v>0</v>
      </c>
      <c r="L1057" s="36">
        <f t="shared" si="224"/>
        <v>10000</v>
      </c>
      <c r="M1057" s="7">
        <f t="shared" si="235"/>
        <v>0</v>
      </c>
      <c r="N1057" s="36">
        <f t="shared" si="225"/>
        <v>10000</v>
      </c>
      <c r="O1057" s="7">
        <f t="shared" si="235"/>
        <v>0</v>
      </c>
      <c r="P1057" s="36">
        <f t="shared" si="221"/>
        <v>10000</v>
      </c>
      <c r="Q1057" s="7">
        <f t="shared" si="235"/>
        <v>0</v>
      </c>
      <c r="R1057" s="36">
        <f t="shared" si="234"/>
        <v>10000</v>
      </c>
    </row>
    <row r="1058" spans="1:18" ht="33">
      <c r="A1058" s="62" t="str">
        <f ca="1">IF(ISERROR(MATCH(E1058,Код_КВР,0)),"",INDIRECT(ADDRESS(MATCH(E1058,Код_КВР,0)+1,2,,,"КВР")))</f>
        <v>Капитальные вложения в объекты недвижимого имущества муниципальной собственности</v>
      </c>
      <c r="B1058" s="63" t="s">
        <v>73</v>
      </c>
      <c r="C1058" s="8" t="s">
        <v>232</v>
      </c>
      <c r="D1058" s="1" t="s">
        <v>229</v>
      </c>
      <c r="E1058" s="115">
        <v>400</v>
      </c>
      <c r="F1058" s="7">
        <f t="shared" si="235"/>
        <v>10000</v>
      </c>
      <c r="G1058" s="7">
        <f t="shared" si="235"/>
        <v>0</v>
      </c>
      <c r="H1058" s="36">
        <f t="shared" si="230"/>
        <v>10000</v>
      </c>
      <c r="I1058" s="7">
        <f t="shared" si="235"/>
        <v>0</v>
      </c>
      <c r="J1058" s="36">
        <f t="shared" si="228"/>
        <v>10000</v>
      </c>
      <c r="K1058" s="7">
        <f t="shared" si="235"/>
        <v>0</v>
      </c>
      <c r="L1058" s="36">
        <f t="shared" si="224"/>
        <v>10000</v>
      </c>
      <c r="M1058" s="7">
        <f t="shared" si="235"/>
        <v>0</v>
      </c>
      <c r="N1058" s="36">
        <f t="shared" si="225"/>
        <v>10000</v>
      </c>
      <c r="O1058" s="7">
        <f t="shared" si="235"/>
        <v>0</v>
      </c>
      <c r="P1058" s="36">
        <f t="shared" si="221"/>
        <v>10000</v>
      </c>
      <c r="Q1058" s="7">
        <f t="shared" si="235"/>
        <v>0</v>
      </c>
      <c r="R1058" s="36">
        <f t="shared" si="234"/>
        <v>10000</v>
      </c>
    </row>
    <row r="1059" spans="1:18" ht="12.75">
      <c r="A1059" s="62" t="str">
        <f ca="1">IF(ISERROR(MATCH(E1059,Код_КВР,0)),"",INDIRECT(ADDRESS(MATCH(E1059,Код_КВР,0)+1,2,,,"КВР")))</f>
        <v>Бюджетные инвестиции</v>
      </c>
      <c r="B1059" s="63" t="s">
        <v>73</v>
      </c>
      <c r="C1059" s="8" t="s">
        <v>232</v>
      </c>
      <c r="D1059" s="1" t="s">
        <v>229</v>
      </c>
      <c r="E1059" s="115">
        <v>410</v>
      </c>
      <c r="F1059" s="7">
        <f t="shared" si="235"/>
        <v>10000</v>
      </c>
      <c r="G1059" s="7">
        <f t="shared" si="235"/>
        <v>0</v>
      </c>
      <c r="H1059" s="36">
        <f t="shared" si="230"/>
        <v>10000</v>
      </c>
      <c r="I1059" s="7">
        <f t="shared" si="235"/>
        <v>0</v>
      </c>
      <c r="J1059" s="36">
        <f t="shared" si="228"/>
        <v>10000</v>
      </c>
      <c r="K1059" s="7">
        <f t="shared" si="235"/>
        <v>0</v>
      </c>
      <c r="L1059" s="36">
        <f t="shared" si="224"/>
        <v>10000</v>
      </c>
      <c r="M1059" s="7">
        <f t="shared" si="235"/>
        <v>0</v>
      </c>
      <c r="N1059" s="36">
        <f t="shared" si="225"/>
        <v>10000</v>
      </c>
      <c r="O1059" s="7">
        <f t="shared" si="235"/>
        <v>0</v>
      </c>
      <c r="P1059" s="36">
        <f t="shared" si="221"/>
        <v>10000</v>
      </c>
      <c r="Q1059" s="7">
        <f t="shared" si="235"/>
        <v>0</v>
      </c>
      <c r="R1059" s="36">
        <f t="shared" si="234"/>
        <v>10000</v>
      </c>
    </row>
    <row r="1060" spans="1:18" ht="33">
      <c r="A1060" s="62" t="str">
        <f ca="1">IF(ISERROR(MATCH(E1060,Код_КВР,0)),"",INDIRECT(ADDRESS(MATCH(E1060,Код_КВР,0)+1,2,,,"КВР")))</f>
        <v>Бюджетные инвестиции в объекты капитального строительства муниципальной собственности</v>
      </c>
      <c r="B1060" s="63" t="s">
        <v>73</v>
      </c>
      <c r="C1060" s="8" t="s">
        <v>232</v>
      </c>
      <c r="D1060" s="1" t="s">
        <v>229</v>
      </c>
      <c r="E1060" s="115">
        <v>414</v>
      </c>
      <c r="F1060" s="7">
        <f>'прил.5'!G1582</f>
        <v>10000</v>
      </c>
      <c r="G1060" s="7">
        <f>'прил.5'!H1582</f>
        <v>0</v>
      </c>
      <c r="H1060" s="36">
        <f t="shared" si="230"/>
        <v>10000</v>
      </c>
      <c r="I1060" s="7">
        <f>'прил.5'!J1582</f>
        <v>0</v>
      </c>
      <c r="J1060" s="36">
        <f t="shared" si="228"/>
        <v>10000</v>
      </c>
      <c r="K1060" s="7">
        <f>'прил.5'!L1582</f>
        <v>0</v>
      </c>
      <c r="L1060" s="36">
        <f t="shared" si="224"/>
        <v>10000</v>
      </c>
      <c r="M1060" s="7">
        <f>'прил.5'!N1582</f>
        <v>0</v>
      </c>
      <c r="N1060" s="36">
        <f t="shared" si="225"/>
        <v>10000</v>
      </c>
      <c r="O1060" s="7">
        <f>'прил.5'!P1582</f>
        <v>0</v>
      </c>
      <c r="P1060" s="36">
        <f t="shared" si="221"/>
        <v>10000</v>
      </c>
      <c r="Q1060" s="7">
        <f>'прил.5'!R1582</f>
        <v>0</v>
      </c>
      <c r="R1060" s="36">
        <f t="shared" si="234"/>
        <v>10000</v>
      </c>
    </row>
    <row r="1061" spans="1:18" ht="12.75">
      <c r="A1061" s="62" t="str">
        <f ca="1">IF(ISERROR(MATCH(B1061,Код_КЦСР,0)),"",INDIRECT(ADDRESS(MATCH(B1061,Код_КЦСР,0)+1,2,,,"КЦСР")))</f>
        <v>Строительство детского сада № 35 на 330 мест в 105 мкр.</v>
      </c>
      <c r="B1061" s="63" t="s">
        <v>75</v>
      </c>
      <c r="C1061" s="8"/>
      <c r="D1061" s="1"/>
      <c r="E1061" s="115"/>
      <c r="F1061" s="7">
        <f aca="true" t="shared" si="236" ref="F1061:Q1065">F1062</f>
        <v>51800</v>
      </c>
      <c r="G1061" s="7">
        <f t="shared" si="236"/>
        <v>0</v>
      </c>
      <c r="H1061" s="36">
        <f t="shared" si="230"/>
        <v>51800</v>
      </c>
      <c r="I1061" s="7">
        <f t="shared" si="236"/>
        <v>0</v>
      </c>
      <c r="J1061" s="36">
        <f t="shared" si="228"/>
        <v>51800</v>
      </c>
      <c r="K1061" s="7">
        <f t="shared" si="236"/>
        <v>-7657</v>
      </c>
      <c r="L1061" s="36">
        <f t="shared" si="224"/>
        <v>44143</v>
      </c>
      <c r="M1061" s="7">
        <f t="shared" si="236"/>
        <v>0</v>
      </c>
      <c r="N1061" s="36">
        <f t="shared" si="225"/>
        <v>44143</v>
      </c>
      <c r="O1061" s="7">
        <f t="shared" si="236"/>
        <v>0</v>
      </c>
      <c r="P1061" s="36">
        <f t="shared" si="221"/>
        <v>44143</v>
      </c>
      <c r="Q1061" s="7">
        <f t="shared" si="236"/>
        <v>0</v>
      </c>
      <c r="R1061" s="36">
        <f t="shared" si="234"/>
        <v>44143</v>
      </c>
    </row>
    <row r="1062" spans="1:18" ht="12.75">
      <c r="A1062" s="62" t="str">
        <f ca="1">IF(ISERROR(MATCH(C1062,Код_Раздел,0)),"",INDIRECT(ADDRESS(MATCH(C1062,Код_Раздел,0)+1,2,,,"Раздел")))</f>
        <v>Образование</v>
      </c>
      <c r="B1062" s="63" t="s">
        <v>75</v>
      </c>
      <c r="C1062" s="8" t="s">
        <v>203</v>
      </c>
      <c r="D1062" s="1"/>
      <c r="E1062" s="115"/>
      <c r="F1062" s="7">
        <f t="shared" si="236"/>
        <v>51800</v>
      </c>
      <c r="G1062" s="7">
        <f t="shared" si="236"/>
        <v>0</v>
      </c>
      <c r="H1062" s="36">
        <f t="shared" si="230"/>
        <v>51800</v>
      </c>
      <c r="I1062" s="7">
        <f t="shared" si="236"/>
        <v>0</v>
      </c>
      <c r="J1062" s="36">
        <f t="shared" si="228"/>
        <v>51800</v>
      </c>
      <c r="K1062" s="7">
        <f t="shared" si="236"/>
        <v>-7657</v>
      </c>
      <c r="L1062" s="36">
        <f t="shared" si="224"/>
        <v>44143</v>
      </c>
      <c r="M1062" s="7">
        <f t="shared" si="236"/>
        <v>0</v>
      </c>
      <c r="N1062" s="36">
        <f t="shared" si="225"/>
        <v>44143</v>
      </c>
      <c r="O1062" s="7">
        <f t="shared" si="236"/>
        <v>0</v>
      </c>
      <c r="P1062" s="36">
        <f aca="true" t="shared" si="237" ref="P1062:P1160">N1062+O1062</f>
        <v>44143</v>
      </c>
      <c r="Q1062" s="7">
        <f t="shared" si="236"/>
        <v>0</v>
      </c>
      <c r="R1062" s="36">
        <f t="shared" si="234"/>
        <v>44143</v>
      </c>
    </row>
    <row r="1063" spans="1:18" ht="12.75">
      <c r="A1063" s="12" t="s">
        <v>259</v>
      </c>
      <c r="B1063" s="63" t="s">
        <v>75</v>
      </c>
      <c r="C1063" s="8" t="s">
        <v>203</v>
      </c>
      <c r="D1063" s="1" t="s">
        <v>227</v>
      </c>
      <c r="E1063" s="115"/>
      <c r="F1063" s="7">
        <f t="shared" si="236"/>
        <v>51800</v>
      </c>
      <c r="G1063" s="7">
        <f t="shared" si="236"/>
        <v>0</v>
      </c>
      <c r="H1063" s="36">
        <f t="shared" si="230"/>
        <v>51800</v>
      </c>
      <c r="I1063" s="7">
        <f t="shared" si="236"/>
        <v>0</v>
      </c>
      <c r="J1063" s="36">
        <f t="shared" si="228"/>
        <v>51800</v>
      </c>
      <c r="K1063" s="7">
        <f t="shared" si="236"/>
        <v>-7657</v>
      </c>
      <c r="L1063" s="36">
        <f t="shared" si="224"/>
        <v>44143</v>
      </c>
      <c r="M1063" s="7">
        <f t="shared" si="236"/>
        <v>0</v>
      </c>
      <c r="N1063" s="36">
        <f t="shared" si="225"/>
        <v>44143</v>
      </c>
      <c r="O1063" s="7">
        <f t="shared" si="236"/>
        <v>0</v>
      </c>
      <c r="P1063" s="36">
        <f t="shared" si="237"/>
        <v>44143</v>
      </c>
      <c r="Q1063" s="7">
        <f t="shared" si="236"/>
        <v>0</v>
      </c>
      <c r="R1063" s="36">
        <f t="shared" si="234"/>
        <v>44143</v>
      </c>
    </row>
    <row r="1064" spans="1:18" ht="33">
      <c r="A1064" s="62" t="str">
        <f ca="1">IF(ISERROR(MATCH(E1064,Код_КВР,0)),"",INDIRECT(ADDRESS(MATCH(E1064,Код_КВР,0)+1,2,,,"КВР")))</f>
        <v>Капитальные вложения в объекты недвижимого имущества муниципальной собственности</v>
      </c>
      <c r="B1064" s="63" t="s">
        <v>75</v>
      </c>
      <c r="C1064" s="8" t="s">
        <v>203</v>
      </c>
      <c r="D1064" s="1" t="s">
        <v>227</v>
      </c>
      <c r="E1064" s="115">
        <v>400</v>
      </c>
      <c r="F1064" s="7">
        <f t="shared" si="236"/>
        <v>51800</v>
      </c>
      <c r="G1064" s="7">
        <f t="shared" si="236"/>
        <v>0</v>
      </c>
      <c r="H1064" s="36">
        <f t="shared" si="230"/>
        <v>51800</v>
      </c>
      <c r="I1064" s="7">
        <f t="shared" si="236"/>
        <v>0</v>
      </c>
      <c r="J1064" s="36">
        <f t="shared" si="228"/>
        <v>51800</v>
      </c>
      <c r="K1064" s="7">
        <f t="shared" si="236"/>
        <v>-7657</v>
      </c>
      <c r="L1064" s="36">
        <f t="shared" si="224"/>
        <v>44143</v>
      </c>
      <c r="M1064" s="7">
        <f t="shared" si="236"/>
        <v>0</v>
      </c>
      <c r="N1064" s="36">
        <f t="shared" si="225"/>
        <v>44143</v>
      </c>
      <c r="O1064" s="7">
        <f t="shared" si="236"/>
        <v>0</v>
      </c>
      <c r="P1064" s="36">
        <f t="shared" si="237"/>
        <v>44143</v>
      </c>
      <c r="Q1064" s="7">
        <f t="shared" si="236"/>
        <v>0</v>
      </c>
      <c r="R1064" s="36">
        <f t="shared" si="234"/>
        <v>44143</v>
      </c>
    </row>
    <row r="1065" spans="1:18" ht="12.75">
      <c r="A1065" s="62" t="str">
        <f ca="1">IF(ISERROR(MATCH(E1065,Код_КВР,0)),"",INDIRECT(ADDRESS(MATCH(E1065,Код_КВР,0)+1,2,,,"КВР")))</f>
        <v>Бюджетные инвестиции</v>
      </c>
      <c r="B1065" s="63" t="s">
        <v>75</v>
      </c>
      <c r="C1065" s="8" t="s">
        <v>203</v>
      </c>
      <c r="D1065" s="1" t="s">
        <v>227</v>
      </c>
      <c r="E1065" s="115">
        <v>410</v>
      </c>
      <c r="F1065" s="7">
        <f t="shared" si="236"/>
        <v>51800</v>
      </c>
      <c r="G1065" s="7">
        <f t="shared" si="236"/>
        <v>0</v>
      </c>
      <c r="H1065" s="36">
        <f t="shared" si="230"/>
        <v>51800</v>
      </c>
      <c r="I1065" s="7">
        <f t="shared" si="236"/>
        <v>0</v>
      </c>
      <c r="J1065" s="36">
        <f t="shared" si="228"/>
        <v>51800</v>
      </c>
      <c r="K1065" s="7">
        <f t="shared" si="236"/>
        <v>-7657</v>
      </c>
      <c r="L1065" s="36">
        <f t="shared" si="224"/>
        <v>44143</v>
      </c>
      <c r="M1065" s="7">
        <f t="shared" si="236"/>
        <v>0</v>
      </c>
      <c r="N1065" s="36">
        <f t="shared" si="225"/>
        <v>44143</v>
      </c>
      <c r="O1065" s="7">
        <f t="shared" si="236"/>
        <v>0</v>
      </c>
      <c r="P1065" s="36">
        <f t="shared" si="237"/>
        <v>44143</v>
      </c>
      <c r="Q1065" s="7">
        <f t="shared" si="236"/>
        <v>0</v>
      </c>
      <c r="R1065" s="36">
        <f t="shared" si="234"/>
        <v>44143</v>
      </c>
    </row>
    <row r="1066" spans="1:18" ht="33">
      <c r="A1066" s="62" t="str">
        <f ca="1">IF(ISERROR(MATCH(E1066,Код_КВР,0)),"",INDIRECT(ADDRESS(MATCH(E1066,Код_КВР,0)+1,2,,,"КВР")))</f>
        <v>Бюджетные инвестиции в объекты капитального строительства муниципальной собственности</v>
      </c>
      <c r="B1066" s="63" t="s">
        <v>75</v>
      </c>
      <c r="C1066" s="8" t="s">
        <v>203</v>
      </c>
      <c r="D1066" s="1" t="s">
        <v>227</v>
      </c>
      <c r="E1066" s="115">
        <v>414</v>
      </c>
      <c r="F1066" s="7">
        <f>'прил.5'!G1541</f>
        <v>51800</v>
      </c>
      <c r="G1066" s="7">
        <f>'прил.5'!H1541</f>
        <v>0</v>
      </c>
      <c r="H1066" s="36">
        <f t="shared" si="230"/>
        <v>51800</v>
      </c>
      <c r="I1066" s="7">
        <f>'прил.5'!J1541</f>
        <v>0</v>
      </c>
      <c r="J1066" s="36">
        <f t="shared" si="228"/>
        <v>51800</v>
      </c>
      <c r="K1066" s="7">
        <f>'прил.5'!L1541</f>
        <v>-7657</v>
      </c>
      <c r="L1066" s="36">
        <f t="shared" si="224"/>
        <v>44143</v>
      </c>
      <c r="M1066" s="7">
        <f>'прил.5'!N1541</f>
        <v>0</v>
      </c>
      <c r="N1066" s="36">
        <f t="shared" si="225"/>
        <v>44143</v>
      </c>
      <c r="O1066" s="7">
        <f>'прил.5'!P1541</f>
        <v>0</v>
      </c>
      <c r="P1066" s="36">
        <f t="shared" si="237"/>
        <v>44143</v>
      </c>
      <c r="Q1066" s="7">
        <f>'прил.5'!R1541</f>
        <v>0</v>
      </c>
      <c r="R1066" s="36">
        <f t="shared" si="234"/>
        <v>44143</v>
      </c>
    </row>
    <row r="1067" spans="1:18" ht="12.75">
      <c r="A1067" s="62" t="str">
        <f ca="1">IF(ISERROR(MATCH(B1067,Код_КЦСР,0)),"",INDIRECT(ADDRESS(MATCH(B1067,Код_КЦСР,0)+1,2,,,"КЦСР")))</f>
        <v>Строительство детского сада № 27 в 115 мкр.</v>
      </c>
      <c r="B1067" s="63" t="s">
        <v>76</v>
      </c>
      <c r="C1067" s="8"/>
      <c r="D1067" s="1"/>
      <c r="E1067" s="115"/>
      <c r="F1067" s="7">
        <f aca="true" t="shared" si="238" ref="F1067:Q1071">F1068</f>
        <v>26800</v>
      </c>
      <c r="G1067" s="7">
        <f t="shared" si="238"/>
        <v>0</v>
      </c>
      <c r="H1067" s="36">
        <f t="shared" si="230"/>
        <v>26800</v>
      </c>
      <c r="I1067" s="7">
        <f t="shared" si="238"/>
        <v>0</v>
      </c>
      <c r="J1067" s="36">
        <f t="shared" si="228"/>
        <v>26800</v>
      </c>
      <c r="K1067" s="7">
        <f t="shared" si="238"/>
        <v>0</v>
      </c>
      <c r="L1067" s="36">
        <f t="shared" si="224"/>
        <v>26800</v>
      </c>
      <c r="M1067" s="7">
        <f t="shared" si="238"/>
        <v>0</v>
      </c>
      <c r="N1067" s="36">
        <f t="shared" si="225"/>
        <v>26800</v>
      </c>
      <c r="O1067" s="7">
        <f t="shared" si="238"/>
        <v>0</v>
      </c>
      <c r="P1067" s="36">
        <f t="shared" si="237"/>
        <v>26800</v>
      </c>
      <c r="Q1067" s="7">
        <f t="shared" si="238"/>
        <v>67686.3</v>
      </c>
      <c r="R1067" s="36">
        <f t="shared" si="234"/>
        <v>94486.3</v>
      </c>
    </row>
    <row r="1068" spans="1:18" ht="12.75">
      <c r="A1068" s="62" t="str">
        <f ca="1">IF(ISERROR(MATCH(C1068,Код_Раздел,0)),"",INDIRECT(ADDRESS(MATCH(C1068,Код_Раздел,0)+1,2,,,"Раздел")))</f>
        <v>Образование</v>
      </c>
      <c r="B1068" s="63" t="s">
        <v>76</v>
      </c>
      <c r="C1068" s="8" t="s">
        <v>203</v>
      </c>
      <c r="D1068" s="1"/>
      <c r="E1068" s="115"/>
      <c r="F1068" s="7">
        <f t="shared" si="238"/>
        <v>26800</v>
      </c>
      <c r="G1068" s="7">
        <f t="shared" si="238"/>
        <v>0</v>
      </c>
      <c r="H1068" s="36">
        <f t="shared" si="230"/>
        <v>26800</v>
      </c>
      <c r="I1068" s="7">
        <f t="shared" si="238"/>
        <v>0</v>
      </c>
      <c r="J1068" s="36">
        <f t="shared" si="228"/>
        <v>26800</v>
      </c>
      <c r="K1068" s="7">
        <f t="shared" si="238"/>
        <v>0</v>
      </c>
      <c r="L1068" s="36">
        <f t="shared" si="224"/>
        <v>26800</v>
      </c>
      <c r="M1068" s="7">
        <f t="shared" si="238"/>
        <v>0</v>
      </c>
      <c r="N1068" s="36">
        <f t="shared" si="225"/>
        <v>26800</v>
      </c>
      <c r="O1068" s="7">
        <f t="shared" si="238"/>
        <v>0</v>
      </c>
      <c r="P1068" s="36">
        <f t="shared" si="237"/>
        <v>26800</v>
      </c>
      <c r="Q1068" s="7">
        <f t="shared" si="238"/>
        <v>67686.3</v>
      </c>
      <c r="R1068" s="36">
        <f t="shared" si="234"/>
        <v>94486.3</v>
      </c>
    </row>
    <row r="1069" spans="1:18" ht="12.75">
      <c r="A1069" s="12" t="s">
        <v>259</v>
      </c>
      <c r="B1069" s="63" t="s">
        <v>76</v>
      </c>
      <c r="C1069" s="8" t="s">
        <v>203</v>
      </c>
      <c r="D1069" s="1" t="s">
        <v>227</v>
      </c>
      <c r="E1069" s="115"/>
      <c r="F1069" s="7">
        <f t="shared" si="238"/>
        <v>26800</v>
      </c>
      <c r="G1069" s="7">
        <f t="shared" si="238"/>
        <v>0</v>
      </c>
      <c r="H1069" s="36">
        <f t="shared" si="230"/>
        <v>26800</v>
      </c>
      <c r="I1069" s="7">
        <f t="shared" si="238"/>
        <v>0</v>
      </c>
      <c r="J1069" s="36">
        <f t="shared" si="228"/>
        <v>26800</v>
      </c>
      <c r="K1069" s="7">
        <f t="shared" si="238"/>
        <v>0</v>
      </c>
      <c r="L1069" s="36">
        <f t="shared" si="224"/>
        <v>26800</v>
      </c>
      <c r="M1069" s="7">
        <f t="shared" si="238"/>
        <v>0</v>
      </c>
      <c r="N1069" s="36">
        <f t="shared" si="225"/>
        <v>26800</v>
      </c>
      <c r="O1069" s="7">
        <f t="shared" si="238"/>
        <v>0</v>
      </c>
      <c r="P1069" s="36">
        <f t="shared" si="237"/>
        <v>26800</v>
      </c>
      <c r="Q1069" s="7">
        <f t="shared" si="238"/>
        <v>67686.3</v>
      </c>
      <c r="R1069" s="36">
        <f t="shared" si="234"/>
        <v>94486.3</v>
      </c>
    </row>
    <row r="1070" spans="1:18" ht="33">
      <c r="A1070" s="62" t="str">
        <f ca="1">IF(ISERROR(MATCH(E1070,Код_КВР,0)),"",INDIRECT(ADDRESS(MATCH(E1070,Код_КВР,0)+1,2,,,"КВР")))</f>
        <v>Капитальные вложения в объекты недвижимого имущества муниципальной собственности</v>
      </c>
      <c r="B1070" s="63" t="s">
        <v>76</v>
      </c>
      <c r="C1070" s="8" t="s">
        <v>203</v>
      </c>
      <c r="D1070" s="1" t="s">
        <v>227</v>
      </c>
      <c r="E1070" s="115">
        <v>400</v>
      </c>
      <c r="F1070" s="7">
        <f t="shared" si="238"/>
        <v>26800</v>
      </c>
      <c r="G1070" s="7">
        <f t="shared" si="238"/>
        <v>0</v>
      </c>
      <c r="H1070" s="36">
        <f t="shared" si="230"/>
        <v>26800</v>
      </c>
      <c r="I1070" s="7">
        <f t="shared" si="238"/>
        <v>0</v>
      </c>
      <c r="J1070" s="36">
        <f t="shared" si="228"/>
        <v>26800</v>
      </c>
      <c r="K1070" s="7">
        <f t="shared" si="238"/>
        <v>0</v>
      </c>
      <c r="L1070" s="36">
        <f t="shared" si="224"/>
        <v>26800</v>
      </c>
      <c r="M1070" s="7">
        <f t="shared" si="238"/>
        <v>0</v>
      </c>
      <c r="N1070" s="36">
        <f t="shared" si="225"/>
        <v>26800</v>
      </c>
      <c r="O1070" s="7">
        <f t="shared" si="238"/>
        <v>0</v>
      </c>
      <c r="P1070" s="36">
        <f t="shared" si="237"/>
        <v>26800</v>
      </c>
      <c r="Q1070" s="7">
        <f t="shared" si="238"/>
        <v>67686.3</v>
      </c>
      <c r="R1070" s="36">
        <f t="shared" si="234"/>
        <v>94486.3</v>
      </c>
    </row>
    <row r="1071" spans="1:18" ht="12.75">
      <c r="A1071" s="62" t="str">
        <f ca="1">IF(ISERROR(MATCH(E1071,Код_КВР,0)),"",INDIRECT(ADDRESS(MATCH(E1071,Код_КВР,0)+1,2,,,"КВР")))</f>
        <v>Бюджетные инвестиции</v>
      </c>
      <c r="B1071" s="63" t="s">
        <v>76</v>
      </c>
      <c r="C1071" s="8" t="s">
        <v>203</v>
      </c>
      <c r="D1071" s="1" t="s">
        <v>227</v>
      </c>
      <c r="E1071" s="115">
        <v>410</v>
      </c>
      <c r="F1071" s="7">
        <f t="shared" si="238"/>
        <v>26800</v>
      </c>
      <c r="G1071" s="7">
        <f t="shared" si="238"/>
        <v>0</v>
      </c>
      <c r="H1071" s="36">
        <f t="shared" si="230"/>
        <v>26800</v>
      </c>
      <c r="I1071" s="7">
        <f t="shared" si="238"/>
        <v>0</v>
      </c>
      <c r="J1071" s="36">
        <f t="shared" si="228"/>
        <v>26800</v>
      </c>
      <c r="K1071" s="7">
        <f t="shared" si="238"/>
        <v>0</v>
      </c>
      <c r="L1071" s="36">
        <f t="shared" si="224"/>
        <v>26800</v>
      </c>
      <c r="M1071" s="7">
        <f t="shared" si="238"/>
        <v>0</v>
      </c>
      <c r="N1071" s="36">
        <f t="shared" si="225"/>
        <v>26800</v>
      </c>
      <c r="O1071" s="7">
        <f t="shared" si="238"/>
        <v>0</v>
      </c>
      <c r="P1071" s="36">
        <f t="shared" si="237"/>
        <v>26800</v>
      </c>
      <c r="Q1071" s="7">
        <f t="shared" si="238"/>
        <v>67686.3</v>
      </c>
      <c r="R1071" s="36">
        <f t="shared" si="234"/>
        <v>94486.3</v>
      </c>
    </row>
    <row r="1072" spans="1:18" ht="33">
      <c r="A1072" s="62" t="str">
        <f ca="1">IF(ISERROR(MATCH(E1072,Код_КВР,0)),"",INDIRECT(ADDRESS(MATCH(E1072,Код_КВР,0)+1,2,,,"КВР")))</f>
        <v>Бюджетные инвестиции в объекты капитального строительства муниципальной собственности</v>
      </c>
      <c r="B1072" s="63" t="s">
        <v>76</v>
      </c>
      <c r="C1072" s="8" t="s">
        <v>203</v>
      </c>
      <c r="D1072" s="1" t="s">
        <v>227</v>
      </c>
      <c r="E1072" s="115">
        <v>414</v>
      </c>
      <c r="F1072" s="7">
        <f>'прил.5'!G1545</f>
        <v>26800</v>
      </c>
      <c r="G1072" s="7">
        <f>'прил.5'!H1545</f>
        <v>0</v>
      </c>
      <c r="H1072" s="36">
        <f t="shared" si="230"/>
        <v>26800</v>
      </c>
      <c r="I1072" s="7">
        <f>'прил.5'!J1545</f>
        <v>0</v>
      </c>
      <c r="J1072" s="36">
        <f t="shared" si="228"/>
        <v>26800</v>
      </c>
      <c r="K1072" s="7">
        <f>'прил.5'!L1545</f>
        <v>0</v>
      </c>
      <c r="L1072" s="36">
        <f t="shared" si="224"/>
        <v>26800</v>
      </c>
      <c r="M1072" s="7">
        <f>'прил.5'!N1545</f>
        <v>0</v>
      </c>
      <c r="N1072" s="36">
        <f t="shared" si="225"/>
        <v>26800</v>
      </c>
      <c r="O1072" s="7">
        <f>'прил.5'!P1545</f>
        <v>0</v>
      </c>
      <c r="P1072" s="36">
        <f t="shared" si="237"/>
        <v>26800</v>
      </c>
      <c r="Q1072" s="7">
        <f>'прил.5'!R1545</f>
        <v>67686.3</v>
      </c>
      <c r="R1072" s="36">
        <f t="shared" si="234"/>
        <v>94486.3</v>
      </c>
    </row>
    <row r="1073" spans="1:18" ht="12.75">
      <c r="A1073" s="62" t="str">
        <f ca="1">IF(ISERROR(MATCH(B1073,Код_КЦСР,0)),"",INDIRECT(ADDRESS(MATCH(B1073,Код_КЦСР,0)+1,2,,,"КЦСР")))</f>
        <v>Строительство полигона твердых бытовых отходов (ТБО) №2</v>
      </c>
      <c r="B1073" s="63" t="s">
        <v>77</v>
      </c>
      <c r="C1073" s="8"/>
      <c r="D1073" s="1"/>
      <c r="E1073" s="115"/>
      <c r="F1073" s="7">
        <f aca="true" t="shared" si="239" ref="F1073:Q1077">F1074</f>
        <v>4522</v>
      </c>
      <c r="G1073" s="7">
        <f t="shared" si="239"/>
        <v>0</v>
      </c>
      <c r="H1073" s="36">
        <f t="shared" si="230"/>
        <v>4522</v>
      </c>
      <c r="I1073" s="7">
        <f t="shared" si="239"/>
        <v>0</v>
      </c>
      <c r="J1073" s="36">
        <f t="shared" si="228"/>
        <v>4522</v>
      </c>
      <c r="K1073" s="7">
        <f t="shared" si="239"/>
        <v>-2087.2</v>
      </c>
      <c r="L1073" s="36">
        <f t="shared" si="224"/>
        <v>2434.8</v>
      </c>
      <c r="M1073" s="7">
        <f t="shared" si="239"/>
        <v>0</v>
      </c>
      <c r="N1073" s="36">
        <f t="shared" si="225"/>
        <v>2434.8</v>
      </c>
      <c r="O1073" s="7">
        <f t="shared" si="239"/>
        <v>0</v>
      </c>
      <c r="P1073" s="36">
        <f t="shared" si="237"/>
        <v>2434.8</v>
      </c>
      <c r="Q1073" s="7">
        <f t="shared" si="239"/>
        <v>1611</v>
      </c>
      <c r="R1073" s="36">
        <f t="shared" si="234"/>
        <v>4045.8</v>
      </c>
    </row>
    <row r="1074" spans="1:18" ht="12.75">
      <c r="A1074" s="62" t="str">
        <f ca="1">IF(ISERROR(MATCH(C1074,Код_Раздел,0)),"",INDIRECT(ADDRESS(MATCH(C1074,Код_Раздел,0)+1,2,,,"Раздел")))</f>
        <v>Жилищно-коммунальное хозяйство</v>
      </c>
      <c r="B1074" s="63" t="s">
        <v>77</v>
      </c>
      <c r="C1074" s="8" t="s">
        <v>229</v>
      </c>
      <c r="D1074" s="1"/>
      <c r="E1074" s="115"/>
      <c r="F1074" s="7">
        <f t="shared" si="239"/>
        <v>4522</v>
      </c>
      <c r="G1074" s="7">
        <f t="shared" si="239"/>
        <v>0</v>
      </c>
      <c r="H1074" s="36">
        <f t="shared" si="230"/>
        <v>4522</v>
      </c>
      <c r="I1074" s="7">
        <f t="shared" si="239"/>
        <v>0</v>
      </c>
      <c r="J1074" s="36">
        <f t="shared" si="228"/>
        <v>4522</v>
      </c>
      <c r="K1074" s="7">
        <f t="shared" si="239"/>
        <v>-2087.2</v>
      </c>
      <c r="L1074" s="36">
        <f t="shared" si="224"/>
        <v>2434.8</v>
      </c>
      <c r="M1074" s="7">
        <f t="shared" si="239"/>
        <v>0</v>
      </c>
      <c r="N1074" s="36">
        <f t="shared" si="225"/>
        <v>2434.8</v>
      </c>
      <c r="O1074" s="7">
        <f t="shared" si="239"/>
        <v>0</v>
      </c>
      <c r="P1074" s="36">
        <f t="shared" si="237"/>
        <v>2434.8</v>
      </c>
      <c r="Q1074" s="7">
        <f t="shared" si="239"/>
        <v>1611</v>
      </c>
      <c r="R1074" s="36">
        <f t="shared" si="234"/>
        <v>4045.8</v>
      </c>
    </row>
    <row r="1075" spans="1:18" ht="12.75">
      <c r="A1075" s="12" t="s">
        <v>261</v>
      </c>
      <c r="B1075" s="63" t="s">
        <v>77</v>
      </c>
      <c r="C1075" s="8" t="s">
        <v>229</v>
      </c>
      <c r="D1075" s="8" t="s">
        <v>222</v>
      </c>
      <c r="E1075" s="115"/>
      <c r="F1075" s="7">
        <f t="shared" si="239"/>
        <v>4522</v>
      </c>
      <c r="G1075" s="7">
        <f t="shared" si="239"/>
        <v>0</v>
      </c>
      <c r="H1075" s="36">
        <f t="shared" si="230"/>
        <v>4522</v>
      </c>
      <c r="I1075" s="7">
        <f t="shared" si="239"/>
        <v>0</v>
      </c>
      <c r="J1075" s="36">
        <f t="shared" si="228"/>
        <v>4522</v>
      </c>
      <c r="K1075" s="7">
        <f t="shared" si="239"/>
        <v>-2087.2</v>
      </c>
      <c r="L1075" s="36">
        <f t="shared" si="224"/>
        <v>2434.8</v>
      </c>
      <c r="M1075" s="7">
        <f t="shared" si="239"/>
        <v>0</v>
      </c>
      <c r="N1075" s="36">
        <f t="shared" si="225"/>
        <v>2434.8</v>
      </c>
      <c r="O1075" s="7">
        <f t="shared" si="239"/>
        <v>0</v>
      </c>
      <c r="P1075" s="36">
        <f t="shared" si="237"/>
        <v>2434.8</v>
      </c>
      <c r="Q1075" s="7">
        <f t="shared" si="239"/>
        <v>1611</v>
      </c>
      <c r="R1075" s="36">
        <f t="shared" si="234"/>
        <v>4045.8</v>
      </c>
    </row>
    <row r="1076" spans="1:18" ht="33">
      <c r="A1076" s="62" t="str">
        <f ca="1">IF(ISERROR(MATCH(E1076,Код_КВР,0)),"",INDIRECT(ADDRESS(MATCH(E1076,Код_КВР,0)+1,2,,,"КВР")))</f>
        <v>Капитальные вложения в объекты недвижимого имущества муниципальной собственности</v>
      </c>
      <c r="B1076" s="63" t="s">
        <v>77</v>
      </c>
      <c r="C1076" s="8" t="s">
        <v>229</v>
      </c>
      <c r="D1076" s="8" t="s">
        <v>222</v>
      </c>
      <c r="E1076" s="115">
        <v>400</v>
      </c>
      <c r="F1076" s="7">
        <f t="shared" si="239"/>
        <v>4522</v>
      </c>
      <c r="G1076" s="7">
        <f t="shared" si="239"/>
        <v>0</v>
      </c>
      <c r="H1076" s="36">
        <f t="shared" si="230"/>
        <v>4522</v>
      </c>
      <c r="I1076" s="7">
        <f t="shared" si="239"/>
        <v>0</v>
      </c>
      <c r="J1076" s="36">
        <f t="shared" si="228"/>
        <v>4522</v>
      </c>
      <c r="K1076" s="7">
        <f t="shared" si="239"/>
        <v>-2087.2</v>
      </c>
      <c r="L1076" s="36">
        <f t="shared" si="224"/>
        <v>2434.8</v>
      </c>
      <c r="M1076" s="7">
        <f t="shared" si="239"/>
        <v>0</v>
      </c>
      <c r="N1076" s="36">
        <f t="shared" si="225"/>
        <v>2434.8</v>
      </c>
      <c r="O1076" s="7">
        <f t="shared" si="239"/>
        <v>0</v>
      </c>
      <c r="P1076" s="36">
        <f t="shared" si="237"/>
        <v>2434.8</v>
      </c>
      <c r="Q1076" s="7">
        <f t="shared" si="239"/>
        <v>1611</v>
      </c>
      <c r="R1076" s="36">
        <f t="shared" si="234"/>
        <v>4045.8</v>
      </c>
    </row>
    <row r="1077" spans="1:18" ht="12.75">
      <c r="A1077" s="62" t="str">
        <f ca="1">IF(ISERROR(MATCH(E1077,Код_КВР,0)),"",INDIRECT(ADDRESS(MATCH(E1077,Код_КВР,0)+1,2,,,"КВР")))</f>
        <v>Бюджетные инвестиции</v>
      </c>
      <c r="B1077" s="63" t="s">
        <v>77</v>
      </c>
      <c r="C1077" s="8" t="s">
        <v>229</v>
      </c>
      <c r="D1077" s="8" t="s">
        <v>222</v>
      </c>
      <c r="E1077" s="115">
        <v>410</v>
      </c>
      <c r="F1077" s="7">
        <f t="shared" si="239"/>
        <v>4522</v>
      </c>
      <c r="G1077" s="7">
        <f t="shared" si="239"/>
        <v>0</v>
      </c>
      <c r="H1077" s="36">
        <f t="shared" si="230"/>
        <v>4522</v>
      </c>
      <c r="I1077" s="7">
        <f t="shared" si="239"/>
        <v>0</v>
      </c>
      <c r="J1077" s="36">
        <f t="shared" si="228"/>
        <v>4522</v>
      </c>
      <c r="K1077" s="7">
        <f t="shared" si="239"/>
        <v>-2087.2</v>
      </c>
      <c r="L1077" s="36">
        <f t="shared" si="224"/>
        <v>2434.8</v>
      </c>
      <c r="M1077" s="7">
        <f t="shared" si="239"/>
        <v>0</v>
      </c>
      <c r="N1077" s="36">
        <f t="shared" si="225"/>
        <v>2434.8</v>
      </c>
      <c r="O1077" s="7">
        <f t="shared" si="239"/>
        <v>0</v>
      </c>
      <c r="P1077" s="36">
        <f t="shared" si="237"/>
        <v>2434.8</v>
      </c>
      <c r="Q1077" s="7">
        <f t="shared" si="239"/>
        <v>1611</v>
      </c>
      <c r="R1077" s="36">
        <f t="shared" si="234"/>
        <v>4045.8</v>
      </c>
    </row>
    <row r="1078" spans="1:18" ht="33">
      <c r="A1078" s="62" t="str">
        <f ca="1">IF(ISERROR(MATCH(E1078,Код_КВР,0)),"",INDIRECT(ADDRESS(MATCH(E1078,Код_КВР,0)+1,2,,,"КВР")))</f>
        <v>Бюджетные инвестиции в объекты капитального строительства муниципальной собственности</v>
      </c>
      <c r="B1078" s="63" t="s">
        <v>77</v>
      </c>
      <c r="C1078" s="8" t="s">
        <v>229</v>
      </c>
      <c r="D1078" s="8" t="s">
        <v>222</v>
      </c>
      <c r="E1078" s="115">
        <v>414</v>
      </c>
      <c r="F1078" s="7">
        <f>'прил.5'!G1499</f>
        <v>4522</v>
      </c>
      <c r="G1078" s="7">
        <f>'прил.5'!H1499</f>
        <v>0</v>
      </c>
      <c r="H1078" s="36">
        <f t="shared" si="230"/>
        <v>4522</v>
      </c>
      <c r="I1078" s="7">
        <f>'прил.5'!J1499</f>
        <v>0</v>
      </c>
      <c r="J1078" s="36">
        <f t="shared" si="228"/>
        <v>4522</v>
      </c>
      <c r="K1078" s="7">
        <f>'прил.5'!L1499</f>
        <v>-2087.2</v>
      </c>
      <c r="L1078" s="36">
        <f t="shared" si="224"/>
        <v>2434.8</v>
      </c>
      <c r="M1078" s="7">
        <f>'прил.5'!N1499</f>
        <v>0</v>
      </c>
      <c r="N1078" s="36">
        <f t="shared" si="225"/>
        <v>2434.8</v>
      </c>
      <c r="O1078" s="7">
        <f>'прил.5'!P1499</f>
        <v>0</v>
      </c>
      <c r="P1078" s="36">
        <f t="shared" si="237"/>
        <v>2434.8</v>
      </c>
      <c r="Q1078" s="7">
        <f>'прил.5'!R1499</f>
        <v>1611</v>
      </c>
      <c r="R1078" s="36">
        <f t="shared" si="234"/>
        <v>4045.8</v>
      </c>
    </row>
    <row r="1079" spans="1:18" ht="12.75">
      <c r="A1079" s="62" t="str">
        <f ca="1">IF(ISERROR(MATCH(B1079,Код_КЦСР,0)),"",INDIRECT(ADDRESS(MATCH(B1079,Код_КЦСР,0)+1,2,,,"КЦСР")))</f>
        <v>Строительство детского сада № 20 в 112 мкр.</v>
      </c>
      <c r="B1079" s="56" t="s">
        <v>602</v>
      </c>
      <c r="C1079" s="8"/>
      <c r="D1079" s="1"/>
      <c r="E1079" s="115"/>
      <c r="F1079" s="7"/>
      <c r="G1079" s="7"/>
      <c r="H1079" s="36"/>
      <c r="I1079" s="7">
        <f>I1080</f>
        <v>10964.4</v>
      </c>
      <c r="J1079" s="36">
        <f t="shared" si="228"/>
        <v>10964.4</v>
      </c>
      <c r="K1079" s="7">
        <f>K1080</f>
        <v>0</v>
      </c>
      <c r="L1079" s="36">
        <f t="shared" si="224"/>
        <v>10964.4</v>
      </c>
      <c r="M1079" s="7">
        <f>M1080</f>
        <v>0</v>
      </c>
      <c r="N1079" s="36">
        <f t="shared" si="225"/>
        <v>10964.4</v>
      </c>
      <c r="O1079" s="7">
        <f>O1080</f>
        <v>0</v>
      </c>
      <c r="P1079" s="36">
        <f t="shared" si="237"/>
        <v>10964.4</v>
      </c>
      <c r="Q1079" s="7">
        <f>Q1080</f>
        <v>-6487.5</v>
      </c>
      <c r="R1079" s="36">
        <f t="shared" si="234"/>
        <v>4476.9</v>
      </c>
    </row>
    <row r="1080" spans="1:18" ht="12.75">
      <c r="A1080" s="62" t="str">
        <f ca="1">IF(ISERROR(MATCH(C1080,Код_Раздел,0)),"",INDIRECT(ADDRESS(MATCH(C1080,Код_Раздел,0)+1,2,,,"Раздел")))</f>
        <v>Образование</v>
      </c>
      <c r="B1080" s="56" t="s">
        <v>602</v>
      </c>
      <c r="C1080" s="8" t="s">
        <v>203</v>
      </c>
      <c r="D1080" s="1"/>
      <c r="E1080" s="115"/>
      <c r="F1080" s="7"/>
      <c r="G1080" s="7"/>
      <c r="H1080" s="36"/>
      <c r="I1080" s="7">
        <f>I1081</f>
        <v>10964.4</v>
      </c>
      <c r="J1080" s="36">
        <f t="shared" si="228"/>
        <v>10964.4</v>
      </c>
      <c r="K1080" s="7">
        <f>K1081</f>
        <v>0</v>
      </c>
      <c r="L1080" s="36">
        <f t="shared" si="224"/>
        <v>10964.4</v>
      </c>
      <c r="M1080" s="7">
        <f>M1081</f>
        <v>0</v>
      </c>
      <c r="N1080" s="36">
        <f t="shared" si="225"/>
        <v>10964.4</v>
      </c>
      <c r="O1080" s="7">
        <f>O1081</f>
        <v>0</v>
      </c>
      <c r="P1080" s="36">
        <f t="shared" si="237"/>
        <v>10964.4</v>
      </c>
      <c r="Q1080" s="7">
        <f>Q1081</f>
        <v>-6487.5</v>
      </c>
      <c r="R1080" s="36">
        <f t="shared" si="234"/>
        <v>4476.9</v>
      </c>
    </row>
    <row r="1081" spans="1:18" ht="12.75">
      <c r="A1081" s="12" t="s">
        <v>259</v>
      </c>
      <c r="B1081" s="56" t="s">
        <v>602</v>
      </c>
      <c r="C1081" s="8" t="s">
        <v>203</v>
      </c>
      <c r="D1081" s="1" t="s">
        <v>227</v>
      </c>
      <c r="E1081" s="115"/>
      <c r="F1081" s="7"/>
      <c r="G1081" s="7"/>
      <c r="H1081" s="36"/>
      <c r="I1081" s="7">
        <f>I1082</f>
        <v>10964.4</v>
      </c>
      <c r="J1081" s="36">
        <f t="shared" si="228"/>
        <v>10964.4</v>
      </c>
      <c r="K1081" s="7">
        <f>K1082</f>
        <v>0</v>
      </c>
      <c r="L1081" s="36">
        <f aca="true" t="shared" si="240" ref="L1081:L1196">J1081+K1081</f>
        <v>10964.4</v>
      </c>
      <c r="M1081" s="7">
        <f>M1082</f>
        <v>0</v>
      </c>
      <c r="N1081" s="36">
        <f aca="true" t="shared" si="241" ref="N1081:N1196">L1081+M1081</f>
        <v>10964.4</v>
      </c>
      <c r="O1081" s="7">
        <f>O1082</f>
        <v>0</v>
      </c>
      <c r="P1081" s="36">
        <f t="shared" si="237"/>
        <v>10964.4</v>
      </c>
      <c r="Q1081" s="7">
        <f>Q1082</f>
        <v>-6487.5</v>
      </c>
      <c r="R1081" s="36">
        <f t="shared" si="234"/>
        <v>4476.9</v>
      </c>
    </row>
    <row r="1082" spans="1:18" ht="33">
      <c r="A1082" s="62" t="str">
        <f ca="1">IF(ISERROR(MATCH(E1082,Код_КВР,0)),"",INDIRECT(ADDRESS(MATCH(E1082,Код_КВР,0)+1,2,,,"КВР")))</f>
        <v>Капитальные вложения в объекты недвижимого имущества муниципальной собственности</v>
      </c>
      <c r="B1082" s="56" t="s">
        <v>602</v>
      </c>
      <c r="C1082" s="8" t="s">
        <v>203</v>
      </c>
      <c r="D1082" s="1" t="s">
        <v>227</v>
      </c>
      <c r="E1082" s="115">
        <v>400</v>
      </c>
      <c r="F1082" s="7"/>
      <c r="G1082" s="7"/>
      <c r="H1082" s="36"/>
      <c r="I1082" s="7">
        <f>I1083</f>
        <v>10964.4</v>
      </c>
      <c r="J1082" s="36">
        <f t="shared" si="228"/>
        <v>10964.4</v>
      </c>
      <c r="K1082" s="7">
        <f>K1083</f>
        <v>0</v>
      </c>
      <c r="L1082" s="36">
        <f t="shared" si="240"/>
        <v>10964.4</v>
      </c>
      <c r="M1082" s="7">
        <f>M1083</f>
        <v>0</v>
      </c>
      <c r="N1082" s="36">
        <f t="shared" si="241"/>
        <v>10964.4</v>
      </c>
      <c r="O1082" s="7">
        <f>O1083</f>
        <v>0</v>
      </c>
      <c r="P1082" s="36">
        <f t="shared" si="237"/>
        <v>10964.4</v>
      </c>
      <c r="Q1082" s="7">
        <f>Q1083</f>
        <v>-6487.5</v>
      </c>
      <c r="R1082" s="36">
        <f t="shared" si="234"/>
        <v>4476.9</v>
      </c>
    </row>
    <row r="1083" spans="1:18" ht="12.75">
      <c r="A1083" s="62" t="str">
        <f ca="1">IF(ISERROR(MATCH(E1083,Код_КВР,0)),"",INDIRECT(ADDRESS(MATCH(E1083,Код_КВР,0)+1,2,,,"КВР")))</f>
        <v>Бюджетные инвестиции</v>
      </c>
      <c r="B1083" s="56" t="s">
        <v>602</v>
      </c>
      <c r="C1083" s="8" t="s">
        <v>203</v>
      </c>
      <c r="D1083" s="1" t="s">
        <v>227</v>
      </c>
      <c r="E1083" s="115">
        <v>410</v>
      </c>
      <c r="F1083" s="7"/>
      <c r="G1083" s="7"/>
      <c r="H1083" s="36"/>
      <c r="I1083" s="7">
        <f>I1084</f>
        <v>10964.4</v>
      </c>
      <c r="J1083" s="36">
        <f t="shared" si="228"/>
        <v>10964.4</v>
      </c>
      <c r="K1083" s="7">
        <f>K1084</f>
        <v>0</v>
      </c>
      <c r="L1083" s="36">
        <f t="shared" si="240"/>
        <v>10964.4</v>
      </c>
      <c r="M1083" s="7">
        <f>M1084</f>
        <v>0</v>
      </c>
      <c r="N1083" s="36">
        <f t="shared" si="241"/>
        <v>10964.4</v>
      </c>
      <c r="O1083" s="7">
        <f>O1084</f>
        <v>0</v>
      </c>
      <c r="P1083" s="36">
        <f t="shared" si="237"/>
        <v>10964.4</v>
      </c>
      <c r="Q1083" s="7">
        <f>Q1084</f>
        <v>-6487.5</v>
      </c>
      <c r="R1083" s="36">
        <f t="shared" si="234"/>
        <v>4476.9</v>
      </c>
    </row>
    <row r="1084" spans="1:18" ht="33">
      <c r="A1084" s="62" t="str">
        <f ca="1">IF(ISERROR(MATCH(E1084,Код_КВР,0)),"",INDIRECT(ADDRESS(MATCH(E1084,Код_КВР,0)+1,2,,,"КВР")))</f>
        <v>Бюджетные инвестиции в объекты капитального строительства муниципальной собственности</v>
      </c>
      <c r="B1084" s="56" t="s">
        <v>602</v>
      </c>
      <c r="C1084" s="8" t="s">
        <v>203</v>
      </c>
      <c r="D1084" s="1" t="s">
        <v>227</v>
      </c>
      <c r="E1084" s="115">
        <v>414</v>
      </c>
      <c r="F1084" s="7"/>
      <c r="G1084" s="7"/>
      <c r="H1084" s="36"/>
      <c r="I1084" s="7">
        <f>'прил.5'!J1549</f>
        <v>10964.4</v>
      </c>
      <c r="J1084" s="36">
        <f t="shared" si="228"/>
        <v>10964.4</v>
      </c>
      <c r="K1084" s="7">
        <f>'прил.5'!L1549</f>
        <v>0</v>
      </c>
      <c r="L1084" s="36">
        <f t="shared" si="240"/>
        <v>10964.4</v>
      </c>
      <c r="M1084" s="7">
        <f>'прил.5'!N1549</f>
        <v>0</v>
      </c>
      <c r="N1084" s="36">
        <f t="shared" si="241"/>
        <v>10964.4</v>
      </c>
      <c r="O1084" s="7">
        <f>'прил.5'!P1549</f>
        <v>0</v>
      </c>
      <c r="P1084" s="36">
        <f t="shared" si="237"/>
        <v>10964.4</v>
      </c>
      <c r="Q1084" s="7">
        <f>'прил.5'!R1549</f>
        <v>-6487.5</v>
      </c>
      <c r="R1084" s="36">
        <f t="shared" si="234"/>
        <v>4476.9</v>
      </c>
    </row>
    <row r="1085" spans="1:18" ht="36" customHeight="1">
      <c r="A1085" s="62" t="str">
        <f ca="1">IF(ISERROR(MATCH(B1085,Код_КЦСР,0)),"",INDIRECT(ADDRESS(MATCH(B1085,Код_КЦСР,0)+1,2,,,"КЦСР")))</f>
        <v>Туристско-рекреационный кластер «Центральная городская набережная»</v>
      </c>
      <c r="B1085" s="56" t="s">
        <v>632</v>
      </c>
      <c r="C1085" s="8"/>
      <c r="D1085" s="1"/>
      <c r="E1085" s="115"/>
      <c r="F1085" s="7"/>
      <c r="G1085" s="7"/>
      <c r="H1085" s="36"/>
      <c r="I1085" s="7"/>
      <c r="J1085" s="36"/>
      <c r="K1085" s="7">
        <f>K1086</f>
        <v>2500</v>
      </c>
      <c r="L1085" s="36">
        <f t="shared" si="240"/>
        <v>2500</v>
      </c>
      <c r="M1085" s="7">
        <f>M1086</f>
        <v>0</v>
      </c>
      <c r="N1085" s="36">
        <f t="shared" si="241"/>
        <v>2500</v>
      </c>
      <c r="O1085" s="7">
        <f>O1086</f>
        <v>0</v>
      </c>
      <c r="P1085" s="36">
        <f t="shared" si="237"/>
        <v>2500</v>
      </c>
      <c r="Q1085" s="7">
        <f>Q1086</f>
        <v>0</v>
      </c>
      <c r="R1085" s="36">
        <f t="shared" si="234"/>
        <v>2500</v>
      </c>
    </row>
    <row r="1086" spans="1:18" ht="12.75">
      <c r="A1086" s="62" t="str">
        <f ca="1">IF(ISERROR(MATCH(C1086,Код_Раздел,0)),"",INDIRECT(ADDRESS(MATCH(C1086,Код_Раздел,0)+1,2,,,"Раздел")))</f>
        <v>Жилищно-коммунальное хозяйство</v>
      </c>
      <c r="B1086" s="56" t="s">
        <v>632</v>
      </c>
      <c r="C1086" s="8" t="s">
        <v>229</v>
      </c>
      <c r="D1086" s="1"/>
      <c r="E1086" s="115"/>
      <c r="F1086" s="7"/>
      <c r="G1086" s="7"/>
      <c r="H1086" s="36"/>
      <c r="I1086" s="7"/>
      <c r="J1086" s="36"/>
      <c r="K1086" s="7">
        <f>K1087</f>
        <v>2500</v>
      </c>
      <c r="L1086" s="36">
        <f t="shared" si="240"/>
        <v>2500</v>
      </c>
      <c r="M1086" s="7">
        <f>M1087</f>
        <v>0</v>
      </c>
      <c r="N1086" s="36">
        <f t="shared" si="241"/>
        <v>2500</v>
      </c>
      <c r="O1086" s="7">
        <f>O1087</f>
        <v>0</v>
      </c>
      <c r="P1086" s="36">
        <f t="shared" si="237"/>
        <v>2500</v>
      </c>
      <c r="Q1086" s="7">
        <f>Q1087</f>
        <v>0</v>
      </c>
      <c r="R1086" s="36">
        <f t="shared" si="234"/>
        <v>2500</v>
      </c>
    </row>
    <row r="1087" spans="1:18" ht="12.75">
      <c r="A1087" s="12" t="s">
        <v>261</v>
      </c>
      <c r="B1087" s="56" t="s">
        <v>632</v>
      </c>
      <c r="C1087" s="8" t="s">
        <v>229</v>
      </c>
      <c r="D1087" s="8" t="s">
        <v>222</v>
      </c>
      <c r="E1087" s="115"/>
      <c r="F1087" s="7"/>
      <c r="G1087" s="7"/>
      <c r="H1087" s="36"/>
      <c r="I1087" s="7"/>
      <c r="J1087" s="36"/>
      <c r="K1087" s="7">
        <f>K1088</f>
        <v>2500</v>
      </c>
      <c r="L1087" s="36">
        <f t="shared" si="240"/>
        <v>2500</v>
      </c>
      <c r="M1087" s="7">
        <f>M1088</f>
        <v>0</v>
      </c>
      <c r="N1087" s="36">
        <f t="shared" si="241"/>
        <v>2500</v>
      </c>
      <c r="O1087" s="7">
        <f>O1088</f>
        <v>0</v>
      </c>
      <c r="P1087" s="36">
        <f t="shared" si="237"/>
        <v>2500</v>
      </c>
      <c r="Q1087" s="7">
        <f>Q1088</f>
        <v>0</v>
      </c>
      <c r="R1087" s="36">
        <f t="shared" si="234"/>
        <v>2500</v>
      </c>
    </row>
    <row r="1088" spans="1:18" ht="33">
      <c r="A1088" s="62" t="str">
        <f ca="1">IF(ISERROR(MATCH(E1088,Код_КВР,0)),"",INDIRECT(ADDRESS(MATCH(E1088,Код_КВР,0)+1,2,,,"КВР")))</f>
        <v>Капитальные вложения в объекты недвижимого имущества муниципальной собственности</v>
      </c>
      <c r="B1088" s="56" t="s">
        <v>632</v>
      </c>
      <c r="C1088" s="8" t="s">
        <v>229</v>
      </c>
      <c r="D1088" s="8" t="s">
        <v>222</v>
      </c>
      <c r="E1088" s="115">
        <v>400</v>
      </c>
      <c r="F1088" s="7"/>
      <c r="G1088" s="7"/>
      <c r="H1088" s="36"/>
      <c r="I1088" s="7"/>
      <c r="J1088" s="36"/>
      <c r="K1088" s="7">
        <f>K1089</f>
        <v>2500</v>
      </c>
      <c r="L1088" s="36">
        <f t="shared" si="240"/>
        <v>2500</v>
      </c>
      <c r="M1088" s="7">
        <f>M1089</f>
        <v>0</v>
      </c>
      <c r="N1088" s="36">
        <f t="shared" si="241"/>
        <v>2500</v>
      </c>
      <c r="O1088" s="7">
        <f>O1089</f>
        <v>0</v>
      </c>
      <c r="P1088" s="36">
        <f t="shared" si="237"/>
        <v>2500</v>
      </c>
      <c r="Q1088" s="7">
        <f>Q1089</f>
        <v>0</v>
      </c>
      <c r="R1088" s="36">
        <f t="shared" si="234"/>
        <v>2500</v>
      </c>
    </row>
    <row r="1089" spans="1:18" ht="12.75">
      <c r="A1089" s="62" t="str">
        <f ca="1">IF(ISERROR(MATCH(E1089,Код_КВР,0)),"",INDIRECT(ADDRESS(MATCH(E1089,Код_КВР,0)+1,2,,,"КВР")))</f>
        <v>Бюджетные инвестиции</v>
      </c>
      <c r="B1089" s="56" t="s">
        <v>632</v>
      </c>
      <c r="C1089" s="8" t="s">
        <v>229</v>
      </c>
      <c r="D1089" s="8" t="s">
        <v>222</v>
      </c>
      <c r="E1089" s="115">
        <v>410</v>
      </c>
      <c r="F1089" s="7"/>
      <c r="G1089" s="7"/>
      <c r="H1089" s="36"/>
      <c r="I1089" s="7"/>
      <c r="J1089" s="36"/>
      <c r="K1089" s="7">
        <f>K1090</f>
        <v>2500</v>
      </c>
      <c r="L1089" s="36">
        <f t="shared" si="240"/>
        <v>2500</v>
      </c>
      <c r="M1089" s="7">
        <f>M1090</f>
        <v>0</v>
      </c>
      <c r="N1089" s="36">
        <f t="shared" si="241"/>
        <v>2500</v>
      </c>
      <c r="O1089" s="7">
        <f>O1090</f>
        <v>0</v>
      </c>
      <c r="P1089" s="36">
        <f t="shared" si="237"/>
        <v>2500</v>
      </c>
      <c r="Q1089" s="7">
        <f>Q1090</f>
        <v>0</v>
      </c>
      <c r="R1089" s="36">
        <f t="shared" si="234"/>
        <v>2500</v>
      </c>
    </row>
    <row r="1090" spans="1:18" ht="33">
      <c r="A1090" s="62" t="str">
        <f ca="1">IF(ISERROR(MATCH(E1090,Код_КВР,0)),"",INDIRECT(ADDRESS(MATCH(E1090,Код_КВР,0)+1,2,,,"КВР")))</f>
        <v>Бюджетные инвестиции в объекты капитального строительства муниципальной собственности</v>
      </c>
      <c r="B1090" s="56" t="s">
        <v>632</v>
      </c>
      <c r="C1090" s="8" t="s">
        <v>229</v>
      </c>
      <c r="D1090" s="8" t="s">
        <v>222</v>
      </c>
      <c r="E1090" s="115">
        <v>414</v>
      </c>
      <c r="F1090" s="7"/>
      <c r="G1090" s="7"/>
      <c r="H1090" s="36"/>
      <c r="I1090" s="7"/>
      <c r="J1090" s="36"/>
      <c r="K1090" s="7">
        <f>'прил.5'!L1503</f>
        <v>2500</v>
      </c>
      <c r="L1090" s="36">
        <f t="shared" si="240"/>
        <v>2500</v>
      </c>
      <c r="M1090" s="7">
        <f>'прил.5'!N1503</f>
        <v>0</v>
      </c>
      <c r="N1090" s="36">
        <f t="shared" si="241"/>
        <v>2500</v>
      </c>
      <c r="O1090" s="7">
        <f>'прил.5'!P1503</f>
        <v>0</v>
      </c>
      <c r="P1090" s="36">
        <f t="shared" si="237"/>
        <v>2500</v>
      </c>
      <c r="Q1090" s="7">
        <f>'прил.5'!R1503</f>
        <v>0</v>
      </c>
      <c r="R1090" s="36">
        <f t="shared" si="234"/>
        <v>2500</v>
      </c>
    </row>
    <row r="1091" spans="1:18" ht="33">
      <c r="A1091" s="62" t="str">
        <f ca="1">IF(ISERROR(MATCH(B1091,Код_КЦСР,0)),"",INDIRECT(ADDRESS(MATCH(B1091,Код_КЦСР,0)+1,2,,,"КЦСР")))</f>
        <v>Строительство средней общеобразовательной школы № 24 в 112 мкр.</v>
      </c>
      <c r="B1091" s="56" t="s">
        <v>662</v>
      </c>
      <c r="C1091" s="8"/>
      <c r="D1091" s="1"/>
      <c r="E1091" s="129"/>
      <c r="F1091" s="7"/>
      <c r="G1091" s="7"/>
      <c r="H1091" s="36"/>
      <c r="I1091" s="7"/>
      <c r="J1091" s="36"/>
      <c r="K1091" s="7"/>
      <c r="L1091" s="36"/>
      <c r="M1091" s="7"/>
      <c r="N1091" s="36"/>
      <c r="O1091" s="7"/>
      <c r="P1091" s="36"/>
      <c r="Q1091" s="7">
        <f>Q1092</f>
        <v>1289.7</v>
      </c>
      <c r="R1091" s="36">
        <f t="shared" si="234"/>
        <v>1289.7</v>
      </c>
    </row>
    <row r="1092" spans="1:18" ht="12.75">
      <c r="A1092" s="62" t="str">
        <f ca="1">IF(ISERROR(MATCH(C1092,Код_Раздел,0)),"",INDIRECT(ADDRESS(MATCH(C1092,Код_Раздел,0)+1,2,,,"Раздел")))</f>
        <v>Образование</v>
      </c>
      <c r="B1092" s="56" t="s">
        <v>662</v>
      </c>
      <c r="C1092" s="8" t="s">
        <v>203</v>
      </c>
      <c r="D1092" s="1"/>
      <c r="E1092" s="129"/>
      <c r="F1092" s="7"/>
      <c r="G1092" s="7"/>
      <c r="H1092" s="36"/>
      <c r="I1092" s="7"/>
      <c r="J1092" s="36"/>
      <c r="K1092" s="7"/>
      <c r="L1092" s="36"/>
      <c r="M1092" s="7"/>
      <c r="N1092" s="36"/>
      <c r="O1092" s="7"/>
      <c r="P1092" s="36"/>
      <c r="Q1092" s="7">
        <f>Q1093</f>
        <v>1289.7</v>
      </c>
      <c r="R1092" s="36">
        <f t="shared" si="234"/>
        <v>1289.7</v>
      </c>
    </row>
    <row r="1093" spans="1:18" ht="12.75">
      <c r="A1093" s="12" t="s">
        <v>259</v>
      </c>
      <c r="B1093" s="56" t="s">
        <v>662</v>
      </c>
      <c r="C1093" s="8" t="s">
        <v>203</v>
      </c>
      <c r="D1093" s="8" t="s">
        <v>227</v>
      </c>
      <c r="E1093" s="129"/>
      <c r="F1093" s="7"/>
      <c r="G1093" s="7"/>
      <c r="H1093" s="36"/>
      <c r="I1093" s="7"/>
      <c r="J1093" s="36"/>
      <c r="K1093" s="7"/>
      <c r="L1093" s="36"/>
      <c r="M1093" s="7"/>
      <c r="N1093" s="36"/>
      <c r="O1093" s="7"/>
      <c r="P1093" s="36"/>
      <c r="Q1093" s="7">
        <f>Q1094</f>
        <v>1289.7</v>
      </c>
      <c r="R1093" s="36">
        <f t="shared" si="234"/>
        <v>1289.7</v>
      </c>
    </row>
    <row r="1094" spans="1:18" ht="33">
      <c r="A1094" s="62" t="str">
        <f ca="1">IF(ISERROR(MATCH(E1094,Код_КВР,0)),"",INDIRECT(ADDRESS(MATCH(E1094,Код_КВР,0)+1,2,,,"КВР")))</f>
        <v>Капитальные вложения в объекты недвижимого имущества муниципальной собственности</v>
      </c>
      <c r="B1094" s="56" t="s">
        <v>662</v>
      </c>
      <c r="C1094" s="8" t="s">
        <v>203</v>
      </c>
      <c r="D1094" s="8" t="s">
        <v>227</v>
      </c>
      <c r="E1094" s="129">
        <v>400</v>
      </c>
      <c r="F1094" s="7"/>
      <c r="G1094" s="7"/>
      <c r="H1094" s="36"/>
      <c r="I1094" s="7"/>
      <c r="J1094" s="36"/>
      <c r="K1094" s="7"/>
      <c r="L1094" s="36"/>
      <c r="M1094" s="7"/>
      <c r="N1094" s="36"/>
      <c r="O1094" s="7"/>
      <c r="P1094" s="36"/>
      <c r="Q1094" s="7">
        <f>Q1095</f>
        <v>1289.7</v>
      </c>
      <c r="R1094" s="36">
        <f t="shared" si="234"/>
        <v>1289.7</v>
      </c>
    </row>
    <row r="1095" spans="1:18" ht="12.75">
      <c r="A1095" s="62" t="str">
        <f ca="1">IF(ISERROR(MATCH(E1095,Код_КВР,0)),"",INDIRECT(ADDRESS(MATCH(E1095,Код_КВР,0)+1,2,,,"КВР")))</f>
        <v>Бюджетные инвестиции</v>
      </c>
      <c r="B1095" s="56" t="s">
        <v>662</v>
      </c>
      <c r="C1095" s="8" t="s">
        <v>203</v>
      </c>
      <c r="D1095" s="8" t="s">
        <v>227</v>
      </c>
      <c r="E1095" s="129">
        <v>410</v>
      </c>
      <c r="F1095" s="7"/>
      <c r="G1095" s="7"/>
      <c r="H1095" s="36"/>
      <c r="I1095" s="7"/>
      <c r="J1095" s="36"/>
      <c r="K1095" s="7"/>
      <c r="L1095" s="36"/>
      <c r="M1095" s="7"/>
      <c r="N1095" s="36"/>
      <c r="O1095" s="7"/>
      <c r="P1095" s="36"/>
      <c r="Q1095" s="7">
        <f>Q1096</f>
        <v>1289.7</v>
      </c>
      <c r="R1095" s="36">
        <f t="shared" si="234"/>
        <v>1289.7</v>
      </c>
    </row>
    <row r="1096" spans="1:18" ht="33">
      <c r="A1096" s="62" t="str">
        <f ca="1">IF(ISERROR(MATCH(E1096,Код_КВР,0)),"",INDIRECT(ADDRESS(MATCH(E1096,Код_КВР,0)+1,2,,,"КВР")))</f>
        <v>Бюджетные инвестиции в объекты капитального строительства муниципальной собственности</v>
      </c>
      <c r="B1096" s="56" t="s">
        <v>662</v>
      </c>
      <c r="C1096" s="8" t="s">
        <v>203</v>
      </c>
      <c r="D1096" s="8" t="s">
        <v>227</v>
      </c>
      <c r="E1096" s="129">
        <v>414</v>
      </c>
      <c r="F1096" s="7"/>
      <c r="G1096" s="7"/>
      <c r="H1096" s="36"/>
      <c r="I1096" s="7"/>
      <c r="J1096" s="36"/>
      <c r="K1096" s="7"/>
      <c r="L1096" s="36"/>
      <c r="M1096" s="7"/>
      <c r="N1096" s="36"/>
      <c r="O1096" s="7"/>
      <c r="P1096" s="36"/>
      <c r="Q1096" s="7">
        <f>'прил.5'!R1553</f>
        <v>1289.7</v>
      </c>
      <c r="R1096" s="36">
        <f t="shared" si="234"/>
        <v>1289.7</v>
      </c>
    </row>
    <row r="1097" spans="1:18" ht="33">
      <c r="A1097" s="62" t="str">
        <f ca="1">IF(ISERROR(MATCH(B1097,Код_КЦСР,0)),"",INDIRECT(ADDRESS(MATCH(B1097,Код_КЦСР,0)+1,2,,,"КЦСР")))</f>
        <v>Реконструкция Октябрьского проспекта на участке от Октябрьского моста до ул. Любецкой</v>
      </c>
      <c r="B1097" s="56" t="s">
        <v>664</v>
      </c>
      <c r="C1097" s="8"/>
      <c r="D1097" s="1"/>
      <c r="E1097" s="129"/>
      <c r="F1097" s="7"/>
      <c r="G1097" s="7"/>
      <c r="H1097" s="36"/>
      <c r="I1097" s="7"/>
      <c r="J1097" s="36"/>
      <c r="K1097" s="7"/>
      <c r="L1097" s="36"/>
      <c r="M1097" s="7"/>
      <c r="N1097" s="36"/>
      <c r="O1097" s="7"/>
      <c r="P1097" s="36"/>
      <c r="Q1097" s="7">
        <f>Q1098</f>
        <v>1944</v>
      </c>
      <c r="R1097" s="36">
        <f t="shared" si="234"/>
        <v>1944</v>
      </c>
    </row>
    <row r="1098" spans="1:18" ht="12.75">
      <c r="A1098" s="62" t="str">
        <f ca="1">IF(ISERROR(MATCH(C1098,Код_Раздел,0)),"",INDIRECT(ADDRESS(MATCH(C1098,Код_Раздел,0)+1,2,,,"Раздел")))</f>
        <v>Национальная экономика</v>
      </c>
      <c r="B1098" s="56" t="s">
        <v>664</v>
      </c>
      <c r="C1098" s="8" t="s">
        <v>224</v>
      </c>
      <c r="D1098" s="1"/>
      <c r="E1098" s="129"/>
      <c r="F1098" s="7"/>
      <c r="G1098" s="7"/>
      <c r="H1098" s="36"/>
      <c r="I1098" s="7"/>
      <c r="J1098" s="36"/>
      <c r="K1098" s="7"/>
      <c r="L1098" s="36"/>
      <c r="M1098" s="7"/>
      <c r="N1098" s="36"/>
      <c r="O1098" s="7"/>
      <c r="P1098" s="36"/>
      <c r="Q1098" s="7">
        <f>Q1099</f>
        <v>1944</v>
      </c>
      <c r="R1098" s="36">
        <f t="shared" si="234"/>
        <v>1944</v>
      </c>
    </row>
    <row r="1099" spans="1:18" ht="12.75">
      <c r="A1099" s="79" t="s">
        <v>188</v>
      </c>
      <c r="B1099" s="56" t="s">
        <v>664</v>
      </c>
      <c r="C1099" s="8" t="s">
        <v>224</v>
      </c>
      <c r="D1099" s="8" t="s">
        <v>227</v>
      </c>
      <c r="E1099" s="129"/>
      <c r="F1099" s="7"/>
      <c r="G1099" s="7"/>
      <c r="H1099" s="36"/>
      <c r="I1099" s="7"/>
      <c r="J1099" s="36"/>
      <c r="K1099" s="7"/>
      <c r="L1099" s="36"/>
      <c r="M1099" s="7"/>
      <c r="N1099" s="36"/>
      <c r="O1099" s="7"/>
      <c r="P1099" s="36"/>
      <c r="Q1099" s="7">
        <f>Q1100</f>
        <v>1944</v>
      </c>
      <c r="R1099" s="36">
        <f t="shared" si="234"/>
        <v>1944</v>
      </c>
    </row>
    <row r="1100" spans="1:18" ht="33">
      <c r="A1100" s="62" t="str">
        <f ca="1">IF(ISERROR(MATCH(E1100,Код_КВР,0)),"",INDIRECT(ADDRESS(MATCH(E1100,Код_КВР,0)+1,2,,,"КВР")))</f>
        <v>Капитальные вложения в объекты недвижимого имущества муниципальной собственности</v>
      </c>
      <c r="B1100" s="56" t="s">
        <v>664</v>
      </c>
      <c r="C1100" s="8" t="s">
        <v>224</v>
      </c>
      <c r="D1100" s="8" t="s">
        <v>227</v>
      </c>
      <c r="E1100" s="129">
        <v>400</v>
      </c>
      <c r="F1100" s="7"/>
      <c r="G1100" s="7"/>
      <c r="H1100" s="36"/>
      <c r="I1100" s="7"/>
      <c r="J1100" s="36"/>
      <c r="K1100" s="7"/>
      <c r="L1100" s="36"/>
      <c r="M1100" s="7"/>
      <c r="N1100" s="36"/>
      <c r="O1100" s="7"/>
      <c r="P1100" s="36"/>
      <c r="Q1100" s="7">
        <f>Q1101</f>
        <v>1944</v>
      </c>
      <c r="R1100" s="36">
        <f t="shared" si="234"/>
        <v>1944</v>
      </c>
    </row>
    <row r="1101" spans="1:18" ht="12.75">
      <c r="A1101" s="62" t="str">
        <f ca="1">IF(ISERROR(MATCH(E1101,Код_КВР,0)),"",INDIRECT(ADDRESS(MATCH(E1101,Код_КВР,0)+1,2,,,"КВР")))</f>
        <v>Бюджетные инвестиции</v>
      </c>
      <c r="B1101" s="56" t="s">
        <v>664</v>
      </c>
      <c r="C1101" s="8" t="s">
        <v>224</v>
      </c>
      <c r="D1101" s="8" t="s">
        <v>227</v>
      </c>
      <c r="E1101" s="129">
        <v>410</v>
      </c>
      <c r="F1101" s="7"/>
      <c r="G1101" s="7"/>
      <c r="H1101" s="36"/>
      <c r="I1101" s="7"/>
      <c r="J1101" s="36"/>
      <c r="K1101" s="7"/>
      <c r="L1101" s="36"/>
      <c r="M1101" s="7"/>
      <c r="N1101" s="36"/>
      <c r="O1101" s="7"/>
      <c r="P1101" s="36"/>
      <c r="Q1101" s="7">
        <f>Q1102</f>
        <v>1944</v>
      </c>
      <c r="R1101" s="36">
        <f t="shared" si="234"/>
        <v>1944</v>
      </c>
    </row>
    <row r="1102" spans="1:18" ht="33">
      <c r="A1102" s="62" t="str">
        <f ca="1">IF(ISERROR(MATCH(E1102,Код_КВР,0)),"",INDIRECT(ADDRESS(MATCH(E1102,Код_КВР,0)+1,2,,,"КВР")))</f>
        <v>Бюджетные инвестиции в объекты капитального строительства муниципальной собственности</v>
      </c>
      <c r="B1102" s="56" t="s">
        <v>664</v>
      </c>
      <c r="C1102" s="8" t="s">
        <v>224</v>
      </c>
      <c r="D1102" s="8" t="s">
        <v>227</v>
      </c>
      <c r="E1102" s="129">
        <v>414</v>
      </c>
      <c r="F1102" s="7"/>
      <c r="G1102" s="7"/>
      <c r="H1102" s="36"/>
      <c r="I1102" s="7"/>
      <c r="J1102" s="36"/>
      <c r="K1102" s="7"/>
      <c r="L1102" s="36"/>
      <c r="M1102" s="7"/>
      <c r="N1102" s="36"/>
      <c r="O1102" s="7"/>
      <c r="P1102" s="36"/>
      <c r="Q1102" s="7">
        <f>'прил.5'!R1421</f>
        <v>1944</v>
      </c>
      <c r="R1102" s="36">
        <f t="shared" si="234"/>
        <v>1944</v>
      </c>
    </row>
    <row r="1103" spans="1:18" ht="21" customHeight="1">
      <c r="A1103" s="62" t="str">
        <f ca="1">IF(ISERROR(MATCH(B1103,Код_КЦСР,0)),"",INDIRECT(ADDRESS(MATCH(B1103,Код_КЦСР,0)+1,2,,,"КЦСР")))</f>
        <v>Реконструкция пр. Строителей</v>
      </c>
      <c r="B1103" s="56" t="s">
        <v>666</v>
      </c>
      <c r="C1103" s="8"/>
      <c r="D1103" s="1"/>
      <c r="E1103" s="129"/>
      <c r="F1103" s="7"/>
      <c r="G1103" s="7"/>
      <c r="H1103" s="36"/>
      <c r="I1103" s="7"/>
      <c r="J1103" s="36"/>
      <c r="K1103" s="7"/>
      <c r="L1103" s="36"/>
      <c r="M1103" s="7"/>
      <c r="N1103" s="36"/>
      <c r="O1103" s="7"/>
      <c r="P1103" s="36"/>
      <c r="Q1103" s="7">
        <f>Q1104</f>
        <v>585.4</v>
      </c>
      <c r="R1103" s="36">
        <f t="shared" si="234"/>
        <v>585.4</v>
      </c>
    </row>
    <row r="1104" spans="1:18" ht="12.75">
      <c r="A1104" s="62" t="str">
        <f ca="1">IF(ISERROR(MATCH(C1104,Код_Раздел,0)),"",INDIRECT(ADDRESS(MATCH(C1104,Код_Раздел,0)+1,2,,,"Раздел")))</f>
        <v>Национальная экономика</v>
      </c>
      <c r="B1104" s="56" t="s">
        <v>666</v>
      </c>
      <c r="C1104" s="8" t="s">
        <v>224</v>
      </c>
      <c r="D1104" s="1"/>
      <c r="E1104" s="129"/>
      <c r="F1104" s="7"/>
      <c r="G1104" s="7"/>
      <c r="H1104" s="36"/>
      <c r="I1104" s="7"/>
      <c r="J1104" s="36"/>
      <c r="K1104" s="7"/>
      <c r="L1104" s="36"/>
      <c r="M1104" s="7"/>
      <c r="N1104" s="36"/>
      <c r="O1104" s="7"/>
      <c r="P1104" s="36"/>
      <c r="Q1104" s="7">
        <f>Q1105</f>
        <v>585.4</v>
      </c>
      <c r="R1104" s="36">
        <f t="shared" si="234"/>
        <v>585.4</v>
      </c>
    </row>
    <row r="1105" spans="1:18" ht="12.75">
      <c r="A1105" s="79" t="s">
        <v>188</v>
      </c>
      <c r="B1105" s="56" t="s">
        <v>666</v>
      </c>
      <c r="C1105" s="8" t="s">
        <v>224</v>
      </c>
      <c r="D1105" s="8" t="s">
        <v>227</v>
      </c>
      <c r="E1105" s="129"/>
      <c r="F1105" s="7"/>
      <c r="G1105" s="7"/>
      <c r="H1105" s="36"/>
      <c r="I1105" s="7"/>
      <c r="J1105" s="36"/>
      <c r="K1105" s="7"/>
      <c r="L1105" s="36"/>
      <c r="M1105" s="7"/>
      <c r="N1105" s="36"/>
      <c r="O1105" s="7"/>
      <c r="P1105" s="36"/>
      <c r="Q1105" s="7">
        <f>Q1106</f>
        <v>585.4</v>
      </c>
      <c r="R1105" s="36">
        <f t="shared" si="234"/>
        <v>585.4</v>
      </c>
    </row>
    <row r="1106" spans="1:18" ht="33">
      <c r="A1106" s="62" t="str">
        <f ca="1">IF(ISERROR(MATCH(E1106,Код_КВР,0)),"",INDIRECT(ADDRESS(MATCH(E1106,Код_КВР,0)+1,2,,,"КВР")))</f>
        <v>Капитальные вложения в объекты недвижимого имущества муниципальной собственности</v>
      </c>
      <c r="B1106" s="56" t="s">
        <v>666</v>
      </c>
      <c r="C1106" s="8" t="s">
        <v>224</v>
      </c>
      <c r="D1106" s="8" t="s">
        <v>227</v>
      </c>
      <c r="E1106" s="129">
        <v>400</v>
      </c>
      <c r="F1106" s="7"/>
      <c r="G1106" s="7"/>
      <c r="H1106" s="36"/>
      <c r="I1106" s="7"/>
      <c r="J1106" s="36"/>
      <c r="K1106" s="7"/>
      <c r="L1106" s="36"/>
      <c r="M1106" s="7"/>
      <c r="N1106" s="36"/>
      <c r="O1106" s="7"/>
      <c r="P1106" s="36"/>
      <c r="Q1106" s="7">
        <f>Q1107</f>
        <v>585.4</v>
      </c>
      <c r="R1106" s="36">
        <f t="shared" si="234"/>
        <v>585.4</v>
      </c>
    </row>
    <row r="1107" spans="1:18" ht="12.75">
      <c r="A1107" s="62" t="str">
        <f ca="1">IF(ISERROR(MATCH(E1107,Код_КВР,0)),"",INDIRECT(ADDRESS(MATCH(E1107,Код_КВР,0)+1,2,,,"КВР")))</f>
        <v>Бюджетные инвестиции</v>
      </c>
      <c r="B1107" s="56" t="s">
        <v>666</v>
      </c>
      <c r="C1107" s="8" t="s">
        <v>224</v>
      </c>
      <c r="D1107" s="8" t="s">
        <v>227</v>
      </c>
      <c r="E1107" s="129">
        <v>410</v>
      </c>
      <c r="F1107" s="7"/>
      <c r="G1107" s="7"/>
      <c r="H1107" s="36"/>
      <c r="I1107" s="7"/>
      <c r="J1107" s="36"/>
      <c r="K1107" s="7"/>
      <c r="L1107" s="36"/>
      <c r="M1107" s="7"/>
      <c r="N1107" s="36"/>
      <c r="O1107" s="7"/>
      <c r="P1107" s="36"/>
      <c r="Q1107" s="7">
        <f>Q1108</f>
        <v>585.4</v>
      </c>
      <c r="R1107" s="36">
        <f t="shared" si="234"/>
        <v>585.4</v>
      </c>
    </row>
    <row r="1108" spans="1:18" ht="33">
      <c r="A1108" s="62" t="str">
        <f ca="1">IF(ISERROR(MATCH(E1108,Код_КВР,0)),"",INDIRECT(ADDRESS(MATCH(E1108,Код_КВР,0)+1,2,,,"КВР")))</f>
        <v>Бюджетные инвестиции в объекты капитального строительства муниципальной собственности</v>
      </c>
      <c r="B1108" s="56" t="s">
        <v>666</v>
      </c>
      <c r="C1108" s="8" t="s">
        <v>224</v>
      </c>
      <c r="D1108" s="8" t="s">
        <v>227</v>
      </c>
      <c r="E1108" s="129">
        <v>414</v>
      </c>
      <c r="F1108" s="7"/>
      <c r="G1108" s="7"/>
      <c r="H1108" s="36"/>
      <c r="I1108" s="7"/>
      <c r="J1108" s="36"/>
      <c r="K1108" s="7"/>
      <c r="L1108" s="36"/>
      <c r="M1108" s="7"/>
      <c r="N1108" s="36"/>
      <c r="O1108" s="7"/>
      <c r="P1108" s="36"/>
      <c r="Q1108" s="7">
        <f>'прил.5'!R1425</f>
        <v>585.4</v>
      </c>
      <c r="R1108" s="36">
        <f t="shared" si="234"/>
        <v>585.4</v>
      </c>
    </row>
    <row r="1109" spans="1:18" ht="12.75">
      <c r="A1109" s="62" t="str">
        <f ca="1">IF(ISERROR(MATCH(B1109,Код_КЦСР,0)),"",INDIRECT(ADDRESS(MATCH(B1109,Код_КЦСР,0)+1,2,,,"КЦСР")))</f>
        <v>Реконструкция ул. Мамлеева</v>
      </c>
      <c r="B1109" s="56" t="s">
        <v>668</v>
      </c>
      <c r="C1109" s="8"/>
      <c r="D1109" s="1"/>
      <c r="E1109" s="129"/>
      <c r="F1109" s="7"/>
      <c r="G1109" s="7"/>
      <c r="H1109" s="36"/>
      <c r="I1109" s="7"/>
      <c r="J1109" s="36"/>
      <c r="K1109" s="7"/>
      <c r="L1109" s="36"/>
      <c r="M1109" s="7"/>
      <c r="N1109" s="36"/>
      <c r="O1109" s="7"/>
      <c r="P1109" s="36"/>
      <c r="Q1109" s="7">
        <f>Q1110</f>
        <v>524.7</v>
      </c>
      <c r="R1109" s="36">
        <f t="shared" si="234"/>
        <v>524.7</v>
      </c>
    </row>
    <row r="1110" spans="1:18" ht="12.75">
      <c r="A1110" s="62" t="str">
        <f ca="1">IF(ISERROR(MATCH(C1110,Код_Раздел,0)),"",INDIRECT(ADDRESS(MATCH(C1110,Код_Раздел,0)+1,2,,,"Раздел")))</f>
        <v>Национальная экономика</v>
      </c>
      <c r="B1110" s="56" t="s">
        <v>668</v>
      </c>
      <c r="C1110" s="8" t="s">
        <v>224</v>
      </c>
      <c r="D1110" s="1"/>
      <c r="E1110" s="129"/>
      <c r="F1110" s="7"/>
      <c r="G1110" s="7"/>
      <c r="H1110" s="36"/>
      <c r="I1110" s="7"/>
      <c r="J1110" s="36"/>
      <c r="K1110" s="7"/>
      <c r="L1110" s="36"/>
      <c r="M1110" s="7"/>
      <c r="N1110" s="36"/>
      <c r="O1110" s="7"/>
      <c r="P1110" s="36"/>
      <c r="Q1110" s="7">
        <f>Q1111</f>
        <v>524.7</v>
      </c>
      <c r="R1110" s="36">
        <f t="shared" si="234"/>
        <v>524.7</v>
      </c>
    </row>
    <row r="1111" spans="1:18" ht="12.75">
      <c r="A1111" s="79" t="s">
        <v>188</v>
      </c>
      <c r="B1111" s="56" t="s">
        <v>668</v>
      </c>
      <c r="C1111" s="8" t="s">
        <v>224</v>
      </c>
      <c r="D1111" s="8" t="s">
        <v>227</v>
      </c>
      <c r="E1111" s="129"/>
      <c r="F1111" s="7"/>
      <c r="G1111" s="7"/>
      <c r="H1111" s="36"/>
      <c r="I1111" s="7"/>
      <c r="J1111" s="36"/>
      <c r="K1111" s="7"/>
      <c r="L1111" s="36"/>
      <c r="M1111" s="7"/>
      <c r="N1111" s="36"/>
      <c r="O1111" s="7"/>
      <c r="P1111" s="36"/>
      <c r="Q1111" s="7">
        <f>Q1112</f>
        <v>524.7</v>
      </c>
      <c r="R1111" s="36">
        <f t="shared" si="234"/>
        <v>524.7</v>
      </c>
    </row>
    <row r="1112" spans="1:18" ht="33">
      <c r="A1112" s="62" t="str">
        <f ca="1">IF(ISERROR(MATCH(E1112,Код_КВР,0)),"",INDIRECT(ADDRESS(MATCH(E1112,Код_КВР,0)+1,2,,,"КВР")))</f>
        <v>Капитальные вложения в объекты недвижимого имущества муниципальной собственности</v>
      </c>
      <c r="B1112" s="56" t="s">
        <v>668</v>
      </c>
      <c r="C1112" s="8" t="s">
        <v>224</v>
      </c>
      <c r="D1112" s="8" t="s">
        <v>227</v>
      </c>
      <c r="E1112" s="129">
        <v>400</v>
      </c>
      <c r="F1112" s="7"/>
      <c r="G1112" s="7"/>
      <c r="H1112" s="36"/>
      <c r="I1112" s="7"/>
      <c r="J1112" s="36"/>
      <c r="K1112" s="7"/>
      <c r="L1112" s="36"/>
      <c r="M1112" s="7"/>
      <c r="N1112" s="36"/>
      <c r="O1112" s="7"/>
      <c r="P1112" s="36"/>
      <c r="Q1112" s="7">
        <f>Q1113</f>
        <v>524.7</v>
      </c>
      <c r="R1112" s="36">
        <f t="shared" si="234"/>
        <v>524.7</v>
      </c>
    </row>
    <row r="1113" spans="1:18" ht="12.75">
      <c r="A1113" s="62" t="str">
        <f ca="1">IF(ISERROR(MATCH(E1113,Код_КВР,0)),"",INDIRECT(ADDRESS(MATCH(E1113,Код_КВР,0)+1,2,,,"КВР")))</f>
        <v>Бюджетные инвестиции</v>
      </c>
      <c r="B1113" s="56" t="s">
        <v>668</v>
      </c>
      <c r="C1113" s="8" t="s">
        <v>224</v>
      </c>
      <c r="D1113" s="8" t="s">
        <v>227</v>
      </c>
      <c r="E1113" s="129">
        <v>410</v>
      </c>
      <c r="F1113" s="7"/>
      <c r="G1113" s="7"/>
      <c r="H1113" s="36"/>
      <c r="I1113" s="7"/>
      <c r="J1113" s="36"/>
      <c r="K1113" s="7"/>
      <c r="L1113" s="36"/>
      <c r="M1113" s="7"/>
      <c r="N1113" s="36"/>
      <c r="O1113" s="7"/>
      <c r="P1113" s="36"/>
      <c r="Q1113" s="7">
        <f>Q1114</f>
        <v>524.7</v>
      </c>
      <c r="R1113" s="36">
        <f t="shared" si="234"/>
        <v>524.7</v>
      </c>
    </row>
    <row r="1114" spans="1:18" ht="33">
      <c r="A1114" s="62" t="str">
        <f ca="1">IF(ISERROR(MATCH(E1114,Код_КВР,0)),"",INDIRECT(ADDRESS(MATCH(E1114,Код_КВР,0)+1,2,,,"КВР")))</f>
        <v>Бюджетные инвестиции в объекты капитального строительства муниципальной собственности</v>
      </c>
      <c r="B1114" s="56" t="s">
        <v>668</v>
      </c>
      <c r="C1114" s="8" t="s">
        <v>224</v>
      </c>
      <c r="D1114" s="8" t="s">
        <v>227</v>
      </c>
      <c r="E1114" s="129">
        <v>414</v>
      </c>
      <c r="F1114" s="7"/>
      <c r="G1114" s="7"/>
      <c r="H1114" s="36"/>
      <c r="I1114" s="7"/>
      <c r="J1114" s="36"/>
      <c r="K1114" s="7"/>
      <c r="L1114" s="36"/>
      <c r="M1114" s="7"/>
      <c r="N1114" s="36"/>
      <c r="O1114" s="7"/>
      <c r="P1114" s="36"/>
      <c r="Q1114" s="7">
        <f>'прил.5'!R1429</f>
        <v>524.7</v>
      </c>
      <c r="R1114" s="36">
        <f t="shared" si="234"/>
        <v>524.7</v>
      </c>
    </row>
    <row r="1115" spans="1:18" ht="12.75">
      <c r="A1115" s="62" t="str">
        <f ca="1">IF(ISERROR(MATCH(B1115,Код_КЦСР,0)),"",INDIRECT(ADDRESS(MATCH(B1115,Код_КЦСР,0)+1,2,,,"КЦСР")))</f>
        <v>Реконструкция ул. Данилова</v>
      </c>
      <c r="B1115" s="56" t="s">
        <v>670</v>
      </c>
      <c r="C1115" s="8"/>
      <c r="D1115" s="1"/>
      <c r="E1115" s="129"/>
      <c r="F1115" s="7"/>
      <c r="G1115" s="7"/>
      <c r="H1115" s="36"/>
      <c r="I1115" s="7"/>
      <c r="J1115" s="36"/>
      <c r="K1115" s="7"/>
      <c r="L1115" s="36"/>
      <c r="M1115" s="7"/>
      <c r="N1115" s="36"/>
      <c r="O1115" s="7"/>
      <c r="P1115" s="36"/>
      <c r="Q1115" s="7">
        <f>Q1116</f>
        <v>518.4</v>
      </c>
      <c r="R1115" s="36">
        <f t="shared" si="234"/>
        <v>518.4</v>
      </c>
    </row>
    <row r="1116" spans="1:18" ht="12.75">
      <c r="A1116" s="62" t="str">
        <f ca="1">IF(ISERROR(MATCH(C1116,Код_Раздел,0)),"",INDIRECT(ADDRESS(MATCH(C1116,Код_Раздел,0)+1,2,,,"Раздел")))</f>
        <v>Национальная экономика</v>
      </c>
      <c r="B1116" s="56" t="s">
        <v>670</v>
      </c>
      <c r="C1116" s="8" t="s">
        <v>224</v>
      </c>
      <c r="D1116" s="1"/>
      <c r="E1116" s="129"/>
      <c r="F1116" s="7"/>
      <c r="G1116" s="7"/>
      <c r="H1116" s="36"/>
      <c r="I1116" s="7"/>
      <c r="J1116" s="36"/>
      <c r="K1116" s="7"/>
      <c r="L1116" s="36"/>
      <c r="M1116" s="7"/>
      <c r="N1116" s="36"/>
      <c r="O1116" s="7"/>
      <c r="P1116" s="36"/>
      <c r="Q1116" s="7">
        <f>Q1117</f>
        <v>518.4</v>
      </c>
      <c r="R1116" s="36">
        <f t="shared" si="234"/>
        <v>518.4</v>
      </c>
    </row>
    <row r="1117" spans="1:18" ht="12.75">
      <c r="A1117" s="79" t="s">
        <v>188</v>
      </c>
      <c r="B1117" s="56" t="s">
        <v>670</v>
      </c>
      <c r="C1117" s="8" t="s">
        <v>224</v>
      </c>
      <c r="D1117" s="8" t="s">
        <v>227</v>
      </c>
      <c r="E1117" s="129"/>
      <c r="F1117" s="7"/>
      <c r="G1117" s="7"/>
      <c r="H1117" s="36"/>
      <c r="I1117" s="7"/>
      <c r="J1117" s="36"/>
      <c r="K1117" s="7"/>
      <c r="L1117" s="36"/>
      <c r="M1117" s="7"/>
      <c r="N1117" s="36"/>
      <c r="O1117" s="7"/>
      <c r="P1117" s="36"/>
      <c r="Q1117" s="7">
        <f>Q1118</f>
        <v>518.4</v>
      </c>
      <c r="R1117" s="36">
        <f t="shared" si="234"/>
        <v>518.4</v>
      </c>
    </row>
    <row r="1118" spans="1:18" ht="33">
      <c r="A1118" s="62" t="str">
        <f ca="1">IF(ISERROR(MATCH(E1118,Код_КВР,0)),"",INDIRECT(ADDRESS(MATCH(E1118,Код_КВР,0)+1,2,,,"КВР")))</f>
        <v>Капитальные вложения в объекты недвижимого имущества муниципальной собственности</v>
      </c>
      <c r="B1118" s="56" t="s">
        <v>670</v>
      </c>
      <c r="C1118" s="8" t="s">
        <v>224</v>
      </c>
      <c r="D1118" s="8" t="s">
        <v>227</v>
      </c>
      <c r="E1118" s="129">
        <v>400</v>
      </c>
      <c r="F1118" s="7"/>
      <c r="G1118" s="7"/>
      <c r="H1118" s="36"/>
      <c r="I1118" s="7"/>
      <c r="J1118" s="36"/>
      <c r="K1118" s="7"/>
      <c r="L1118" s="36"/>
      <c r="M1118" s="7"/>
      <c r="N1118" s="36"/>
      <c r="O1118" s="7"/>
      <c r="P1118" s="36"/>
      <c r="Q1118" s="7">
        <f>Q1119</f>
        <v>518.4</v>
      </c>
      <c r="R1118" s="36">
        <f t="shared" si="234"/>
        <v>518.4</v>
      </c>
    </row>
    <row r="1119" spans="1:18" ht="12.75">
      <c r="A1119" s="62" t="str">
        <f ca="1">IF(ISERROR(MATCH(E1119,Код_КВР,0)),"",INDIRECT(ADDRESS(MATCH(E1119,Код_КВР,0)+1,2,,,"КВР")))</f>
        <v>Бюджетные инвестиции</v>
      </c>
      <c r="B1119" s="56" t="s">
        <v>670</v>
      </c>
      <c r="C1119" s="8" t="s">
        <v>224</v>
      </c>
      <c r="D1119" s="8" t="s">
        <v>227</v>
      </c>
      <c r="E1119" s="129">
        <v>410</v>
      </c>
      <c r="F1119" s="7"/>
      <c r="G1119" s="7"/>
      <c r="H1119" s="36"/>
      <c r="I1119" s="7"/>
      <c r="J1119" s="36"/>
      <c r="K1119" s="7"/>
      <c r="L1119" s="36"/>
      <c r="M1119" s="7"/>
      <c r="N1119" s="36"/>
      <c r="O1119" s="7"/>
      <c r="P1119" s="36"/>
      <c r="Q1119" s="7">
        <f>Q1120</f>
        <v>518.4</v>
      </c>
      <c r="R1119" s="36">
        <f t="shared" si="234"/>
        <v>518.4</v>
      </c>
    </row>
    <row r="1120" spans="1:18" ht="33">
      <c r="A1120" s="62" t="str">
        <f ca="1">IF(ISERROR(MATCH(E1120,Код_КВР,0)),"",INDIRECT(ADDRESS(MATCH(E1120,Код_КВР,0)+1,2,,,"КВР")))</f>
        <v>Бюджетные инвестиции в объекты капитального строительства муниципальной собственности</v>
      </c>
      <c r="B1120" s="56" t="s">
        <v>670</v>
      </c>
      <c r="C1120" s="8" t="s">
        <v>224</v>
      </c>
      <c r="D1120" s="8" t="s">
        <v>227</v>
      </c>
      <c r="E1120" s="129">
        <v>414</v>
      </c>
      <c r="F1120" s="7"/>
      <c r="G1120" s="7"/>
      <c r="H1120" s="36"/>
      <c r="I1120" s="7"/>
      <c r="J1120" s="36"/>
      <c r="K1120" s="7"/>
      <c r="L1120" s="36"/>
      <c r="M1120" s="7"/>
      <c r="N1120" s="36"/>
      <c r="O1120" s="7"/>
      <c r="P1120" s="36"/>
      <c r="Q1120" s="7">
        <f>'прил.5'!R1433</f>
        <v>518.4</v>
      </c>
      <c r="R1120" s="36">
        <f t="shared" si="234"/>
        <v>518.4</v>
      </c>
    </row>
    <row r="1121" spans="1:18" ht="12.75">
      <c r="A1121" s="62" t="str">
        <f ca="1">IF(ISERROR(MATCH(B1121,Код_КЦСР,0)),"",INDIRECT(ADDRESS(MATCH(B1121,Код_КЦСР,0)+1,2,,,"КЦСР")))</f>
        <v>Капитальный ремонт  объектов муниципальной собственности</v>
      </c>
      <c r="B1121" s="46" t="s">
        <v>78</v>
      </c>
      <c r="C1121" s="8"/>
      <c r="D1121" s="1"/>
      <c r="E1121" s="115"/>
      <c r="F1121" s="7">
        <f>F1122+F1137</f>
        <v>47796</v>
      </c>
      <c r="G1121" s="7">
        <f>G1122+G1137</f>
        <v>0</v>
      </c>
      <c r="H1121" s="36">
        <f t="shared" si="230"/>
        <v>47796</v>
      </c>
      <c r="I1121" s="7">
        <f>I1122+I1127+I1137</f>
        <v>594.6</v>
      </c>
      <c r="J1121" s="36">
        <f t="shared" si="228"/>
        <v>48390.6</v>
      </c>
      <c r="K1121" s="7">
        <f>K1122+K1127+K1137+K1146</f>
        <v>1712.9</v>
      </c>
      <c r="L1121" s="36">
        <f t="shared" si="240"/>
        <v>50103.5</v>
      </c>
      <c r="M1121" s="7">
        <f>M1122+M1127+M1137+M1146</f>
        <v>0</v>
      </c>
      <c r="N1121" s="36">
        <f t="shared" si="241"/>
        <v>50103.5</v>
      </c>
      <c r="O1121" s="7">
        <f>O1122+O1127+O1137+O1146</f>
        <v>0</v>
      </c>
      <c r="P1121" s="36">
        <f t="shared" si="237"/>
        <v>50103.5</v>
      </c>
      <c r="Q1121" s="7">
        <f>Q1122+Q1127+Q1137+Q1146+Q1132</f>
        <v>-8577.1</v>
      </c>
      <c r="R1121" s="36">
        <f t="shared" si="234"/>
        <v>41526.4</v>
      </c>
    </row>
    <row r="1122" spans="1:18" ht="12.75">
      <c r="A1122" s="62" t="str">
        <f ca="1">IF(ISERROR(MATCH(C1122,Код_Раздел,0)),"",INDIRECT(ADDRESS(MATCH(C1122,Код_Раздел,0)+1,2,,,"Раздел")))</f>
        <v>Общегосударственные  вопросы</v>
      </c>
      <c r="B1122" s="46" t="s">
        <v>78</v>
      </c>
      <c r="C1122" s="8" t="s">
        <v>221</v>
      </c>
      <c r="D1122" s="1"/>
      <c r="E1122" s="115"/>
      <c r="F1122" s="7">
        <f aca="true" t="shared" si="242" ref="F1122:Q1125">F1123</f>
        <v>10110.9</v>
      </c>
      <c r="G1122" s="7">
        <f t="shared" si="242"/>
        <v>0</v>
      </c>
      <c r="H1122" s="36">
        <f t="shared" si="230"/>
        <v>10110.9</v>
      </c>
      <c r="I1122" s="7">
        <f t="shared" si="242"/>
        <v>0</v>
      </c>
      <c r="J1122" s="36">
        <f t="shared" si="228"/>
        <v>10110.9</v>
      </c>
      <c r="K1122" s="7">
        <f t="shared" si="242"/>
        <v>0</v>
      </c>
      <c r="L1122" s="36">
        <f t="shared" si="240"/>
        <v>10110.9</v>
      </c>
      <c r="M1122" s="7">
        <f t="shared" si="242"/>
        <v>0</v>
      </c>
      <c r="N1122" s="36">
        <f t="shared" si="241"/>
        <v>10110.9</v>
      </c>
      <c r="O1122" s="7">
        <f t="shared" si="242"/>
        <v>0</v>
      </c>
      <c r="P1122" s="36">
        <f t="shared" si="237"/>
        <v>10110.9</v>
      </c>
      <c r="Q1122" s="7">
        <f t="shared" si="242"/>
        <v>0</v>
      </c>
      <c r="R1122" s="36">
        <f t="shared" si="234"/>
        <v>10110.9</v>
      </c>
    </row>
    <row r="1123" spans="1:18" ht="12.75">
      <c r="A1123" s="12" t="s">
        <v>245</v>
      </c>
      <c r="B1123" s="46" t="s">
        <v>78</v>
      </c>
      <c r="C1123" s="8" t="s">
        <v>221</v>
      </c>
      <c r="D1123" s="1" t="s">
        <v>198</v>
      </c>
      <c r="E1123" s="115"/>
      <c r="F1123" s="7">
        <f t="shared" si="242"/>
        <v>10110.9</v>
      </c>
      <c r="G1123" s="7">
        <f t="shared" si="242"/>
        <v>0</v>
      </c>
      <c r="H1123" s="36">
        <f t="shared" si="230"/>
        <v>10110.9</v>
      </c>
      <c r="I1123" s="7">
        <f t="shared" si="242"/>
        <v>0</v>
      </c>
      <c r="J1123" s="36">
        <f t="shared" si="228"/>
        <v>10110.9</v>
      </c>
      <c r="K1123" s="7">
        <f t="shared" si="242"/>
        <v>0</v>
      </c>
      <c r="L1123" s="36">
        <f t="shared" si="240"/>
        <v>10110.9</v>
      </c>
      <c r="M1123" s="7">
        <f t="shared" si="242"/>
        <v>0</v>
      </c>
      <c r="N1123" s="36">
        <f t="shared" si="241"/>
        <v>10110.9</v>
      </c>
      <c r="O1123" s="7">
        <f t="shared" si="242"/>
        <v>0</v>
      </c>
      <c r="P1123" s="36">
        <f t="shared" si="237"/>
        <v>10110.9</v>
      </c>
      <c r="Q1123" s="7">
        <f t="shared" si="242"/>
        <v>0</v>
      </c>
      <c r="R1123" s="36">
        <f t="shared" si="234"/>
        <v>10110.9</v>
      </c>
    </row>
    <row r="1124" spans="1:18" ht="12.75">
      <c r="A1124" s="62" t="str">
        <f ca="1">IF(ISERROR(MATCH(E1124,Код_КВР,0)),"",INDIRECT(ADDRESS(MATCH(E1124,Код_КВР,0)+1,2,,,"КВР")))</f>
        <v>Закупка товаров, работ и услуг для муниципальных нужд</v>
      </c>
      <c r="B1124" s="46" t="s">
        <v>78</v>
      </c>
      <c r="C1124" s="8" t="s">
        <v>221</v>
      </c>
      <c r="D1124" s="1" t="s">
        <v>198</v>
      </c>
      <c r="E1124" s="115">
        <v>200</v>
      </c>
      <c r="F1124" s="7">
        <f t="shared" si="242"/>
        <v>10110.9</v>
      </c>
      <c r="G1124" s="7">
        <f t="shared" si="242"/>
        <v>0</v>
      </c>
      <c r="H1124" s="36">
        <f t="shared" si="230"/>
        <v>10110.9</v>
      </c>
      <c r="I1124" s="7">
        <f t="shared" si="242"/>
        <v>0</v>
      </c>
      <c r="J1124" s="36">
        <f t="shared" si="228"/>
        <v>10110.9</v>
      </c>
      <c r="K1124" s="7">
        <f t="shared" si="242"/>
        <v>0</v>
      </c>
      <c r="L1124" s="36">
        <f t="shared" si="240"/>
        <v>10110.9</v>
      </c>
      <c r="M1124" s="7">
        <f t="shared" si="242"/>
        <v>0</v>
      </c>
      <c r="N1124" s="36">
        <f t="shared" si="241"/>
        <v>10110.9</v>
      </c>
      <c r="O1124" s="7">
        <f t="shared" si="242"/>
        <v>0</v>
      </c>
      <c r="P1124" s="36">
        <f t="shared" si="237"/>
        <v>10110.9</v>
      </c>
      <c r="Q1124" s="7">
        <f t="shared" si="242"/>
        <v>0</v>
      </c>
      <c r="R1124" s="36">
        <f t="shared" si="234"/>
        <v>10110.9</v>
      </c>
    </row>
    <row r="1125" spans="1:18" ht="33">
      <c r="A1125" s="62" t="str">
        <f ca="1">IF(ISERROR(MATCH(E1125,Код_КВР,0)),"",INDIRECT(ADDRESS(MATCH(E1125,Код_КВР,0)+1,2,,,"КВР")))</f>
        <v>Иные закупки товаров, работ и услуг для обеспечения муниципальных нужд</v>
      </c>
      <c r="B1125" s="46" t="s">
        <v>78</v>
      </c>
      <c r="C1125" s="8" t="s">
        <v>221</v>
      </c>
      <c r="D1125" s="1" t="s">
        <v>198</v>
      </c>
      <c r="E1125" s="115">
        <v>240</v>
      </c>
      <c r="F1125" s="7">
        <f t="shared" si="242"/>
        <v>10110.9</v>
      </c>
      <c r="G1125" s="7">
        <f t="shared" si="242"/>
        <v>0</v>
      </c>
      <c r="H1125" s="36">
        <f t="shared" si="230"/>
        <v>10110.9</v>
      </c>
      <c r="I1125" s="7">
        <f t="shared" si="242"/>
        <v>0</v>
      </c>
      <c r="J1125" s="36">
        <f t="shared" si="228"/>
        <v>10110.9</v>
      </c>
      <c r="K1125" s="7">
        <f t="shared" si="242"/>
        <v>0</v>
      </c>
      <c r="L1125" s="36">
        <f t="shared" si="240"/>
        <v>10110.9</v>
      </c>
      <c r="M1125" s="7">
        <f t="shared" si="242"/>
        <v>0</v>
      </c>
      <c r="N1125" s="36">
        <f t="shared" si="241"/>
        <v>10110.9</v>
      </c>
      <c r="O1125" s="7">
        <f t="shared" si="242"/>
        <v>0</v>
      </c>
      <c r="P1125" s="36">
        <f t="shared" si="237"/>
        <v>10110.9</v>
      </c>
      <c r="Q1125" s="7">
        <f t="shared" si="242"/>
        <v>0</v>
      </c>
      <c r="R1125" s="36">
        <f t="shared" si="234"/>
        <v>10110.9</v>
      </c>
    </row>
    <row r="1126" spans="1:18" ht="33">
      <c r="A1126" s="62" t="str">
        <f ca="1">IF(ISERROR(MATCH(E1126,Код_КВР,0)),"",INDIRECT(ADDRESS(MATCH(E1126,Код_КВР,0)+1,2,,,"КВР")))</f>
        <v>Закупка товаров, работ, услуг в целях капитального ремонта муниципального имущества</v>
      </c>
      <c r="B1126" s="46" t="s">
        <v>78</v>
      </c>
      <c r="C1126" s="8" t="s">
        <v>221</v>
      </c>
      <c r="D1126" s="1" t="s">
        <v>198</v>
      </c>
      <c r="E1126" s="115">
        <v>243</v>
      </c>
      <c r="F1126" s="7">
        <f>'прил.5'!G1398</f>
        <v>10110.9</v>
      </c>
      <c r="G1126" s="7">
        <f>'прил.5'!H1398</f>
        <v>0</v>
      </c>
      <c r="H1126" s="36">
        <f t="shared" si="230"/>
        <v>10110.9</v>
      </c>
      <c r="I1126" s="7">
        <f>'прил.5'!J1398</f>
        <v>0</v>
      </c>
      <c r="J1126" s="36">
        <f t="shared" si="228"/>
        <v>10110.9</v>
      </c>
      <c r="K1126" s="7">
        <f>'прил.5'!L1398</f>
        <v>0</v>
      </c>
      <c r="L1126" s="36">
        <f t="shared" si="240"/>
        <v>10110.9</v>
      </c>
      <c r="M1126" s="7">
        <f>'прил.5'!N1398</f>
        <v>0</v>
      </c>
      <c r="N1126" s="36">
        <f t="shared" si="241"/>
        <v>10110.9</v>
      </c>
      <c r="O1126" s="7">
        <f>'прил.5'!P1398</f>
        <v>0</v>
      </c>
      <c r="P1126" s="36">
        <f t="shared" si="237"/>
        <v>10110.9</v>
      </c>
      <c r="Q1126" s="7">
        <f>'прил.5'!R1398</f>
        <v>0</v>
      </c>
      <c r="R1126" s="36">
        <f t="shared" si="234"/>
        <v>10110.9</v>
      </c>
    </row>
    <row r="1127" spans="1:18" ht="12.75">
      <c r="A1127" s="62" t="str">
        <f ca="1">IF(ISERROR(MATCH(C1127,Код_Раздел,0)),"",INDIRECT(ADDRESS(MATCH(C1127,Код_Раздел,0)+1,2,,,"Раздел")))</f>
        <v>Национальная экономика</v>
      </c>
      <c r="B1127" s="46" t="s">
        <v>78</v>
      </c>
      <c r="C1127" s="8" t="s">
        <v>224</v>
      </c>
      <c r="D1127" s="1"/>
      <c r="E1127" s="115"/>
      <c r="F1127" s="7"/>
      <c r="G1127" s="7"/>
      <c r="H1127" s="36"/>
      <c r="I1127" s="7">
        <f>I1128</f>
        <v>594.6</v>
      </c>
      <c r="J1127" s="36">
        <f t="shared" si="228"/>
        <v>594.6</v>
      </c>
      <c r="K1127" s="7">
        <f>K1128</f>
        <v>0</v>
      </c>
      <c r="L1127" s="36">
        <f t="shared" si="240"/>
        <v>594.6</v>
      </c>
      <c r="M1127" s="7">
        <f>M1128</f>
        <v>0</v>
      </c>
      <c r="N1127" s="36">
        <f t="shared" si="241"/>
        <v>594.6</v>
      </c>
      <c r="O1127" s="7">
        <f>O1128</f>
        <v>0</v>
      </c>
      <c r="P1127" s="36">
        <f t="shared" si="237"/>
        <v>594.6</v>
      </c>
      <c r="Q1127" s="7">
        <f>Q1128</f>
        <v>-118.7</v>
      </c>
      <c r="R1127" s="36">
        <f t="shared" si="234"/>
        <v>475.90000000000003</v>
      </c>
    </row>
    <row r="1128" spans="1:18" ht="12.75">
      <c r="A1128" s="12" t="s">
        <v>231</v>
      </c>
      <c r="B1128" s="46" t="s">
        <v>78</v>
      </c>
      <c r="C1128" s="8" t="s">
        <v>224</v>
      </c>
      <c r="D1128" s="1" t="s">
        <v>204</v>
      </c>
      <c r="E1128" s="115"/>
      <c r="F1128" s="7"/>
      <c r="G1128" s="7"/>
      <c r="H1128" s="36"/>
      <c r="I1128" s="7">
        <f>I1129</f>
        <v>594.6</v>
      </c>
      <c r="J1128" s="36">
        <f t="shared" si="228"/>
        <v>594.6</v>
      </c>
      <c r="K1128" s="7">
        <f>K1129</f>
        <v>0</v>
      </c>
      <c r="L1128" s="36">
        <f t="shared" si="240"/>
        <v>594.6</v>
      </c>
      <c r="M1128" s="7">
        <f>M1129</f>
        <v>0</v>
      </c>
      <c r="N1128" s="36">
        <f t="shared" si="241"/>
        <v>594.6</v>
      </c>
      <c r="O1128" s="7">
        <f>O1129</f>
        <v>0</v>
      </c>
      <c r="P1128" s="36">
        <f t="shared" si="237"/>
        <v>594.6</v>
      </c>
      <c r="Q1128" s="7">
        <f>Q1129</f>
        <v>-118.7</v>
      </c>
      <c r="R1128" s="36">
        <f t="shared" si="234"/>
        <v>475.90000000000003</v>
      </c>
    </row>
    <row r="1129" spans="1:18" ht="12.75">
      <c r="A1129" s="62" t="str">
        <f ca="1">IF(ISERROR(MATCH(E1129,Код_КВР,0)),"",INDIRECT(ADDRESS(MATCH(E1129,Код_КВР,0)+1,2,,,"КВР")))</f>
        <v>Закупка товаров, работ и услуг для муниципальных нужд</v>
      </c>
      <c r="B1129" s="46" t="s">
        <v>78</v>
      </c>
      <c r="C1129" s="8" t="s">
        <v>224</v>
      </c>
      <c r="D1129" s="1" t="s">
        <v>204</v>
      </c>
      <c r="E1129" s="115">
        <v>200</v>
      </c>
      <c r="F1129" s="7"/>
      <c r="G1129" s="7"/>
      <c r="H1129" s="36"/>
      <c r="I1129" s="7">
        <f>I1130</f>
        <v>594.6</v>
      </c>
      <c r="J1129" s="36">
        <f t="shared" si="228"/>
        <v>594.6</v>
      </c>
      <c r="K1129" s="7">
        <f>K1130</f>
        <v>0</v>
      </c>
      <c r="L1129" s="36">
        <f t="shared" si="240"/>
        <v>594.6</v>
      </c>
      <c r="M1129" s="7">
        <f>M1130</f>
        <v>0</v>
      </c>
      <c r="N1129" s="36">
        <f t="shared" si="241"/>
        <v>594.6</v>
      </c>
      <c r="O1129" s="7">
        <f>O1130</f>
        <v>0</v>
      </c>
      <c r="P1129" s="36">
        <f t="shared" si="237"/>
        <v>594.6</v>
      </c>
      <c r="Q1129" s="7">
        <f>Q1130</f>
        <v>-118.7</v>
      </c>
      <c r="R1129" s="36">
        <f t="shared" si="234"/>
        <v>475.90000000000003</v>
      </c>
    </row>
    <row r="1130" spans="1:18" ht="33">
      <c r="A1130" s="62" t="str">
        <f ca="1">IF(ISERROR(MATCH(E1130,Код_КВР,0)),"",INDIRECT(ADDRESS(MATCH(E1130,Код_КВР,0)+1,2,,,"КВР")))</f>
        <v>Иные закупки товаров, работ и услуг для обеспечения муниципальных нужд</v>
      </c>
      <c r="B1130" s="46" t="s">
        <v>78</v>
      </c>
      <c r="C1130" s="8" t="s">
        <v>224</v>
      </c>
      <c r="D1130" s="1" t="s">
        <v>204</v>
      </c>
      <c r="E1130" s="115">
        <v>240</v>
      </c>
      <c r="F1130" s="7"/>
      <c r="G1130" s="7"/>
      <c r="H1130" s="36"/>
      <c r="I1130" s="7">
        <f>I1131</f>
        <v>594.6</v>
      </c>
      <c r="J1130" s="36">
        <f t="shared" si="228"/>
        <v>594.6</v>
      </c>
      <c r="K1130" s="7">
        <f>K1131</f>
        <v>0</v>
      </c>
      <c r="L1130" s="36">
        <f t="shared" si="240"/>
        <v>594.6</v>
      </c>
      <c r="M1130" s="7">
        <f>M1131</f>
        <v>0</v>
      </c>
      <c r="N1130" s="36">
        <f t="shared" si="241"/>
        <v>594.6</v>
      </c>
      <c r="O1130" s="7">
        <f>O1131</f>
        <v>0</v>
      </c>
      <c r="P1130" s="36">
        <f t="shared" si="237"/>
        <v>594.6</v>
      </c>
      <c r="Q1130" s="7">
        <f>Q1131</f>
        <v>-118.7</v>
      </c>
      <c r="R1130" s="36">
        <f t="shared" si="234"/>
        <v>475.90000000000003</v>
      </c>
    </row>
    <row r="1131" spans="1:18" ht="33">
      <c r="A1131" s="62" t="str">
        <f ca="1">IF(ISERROR(MATCH(E1131,Код_КВР,0)),"",INDIRECT(ADDRESS(MATCH(E1131,Код_КВР,0)+1,2,,,"КВР")))</f>
        <v>Закупка товаров, работ, услуг в целях капитального ремонта муниципального имущества</v>
      </c>
      <c r="B1131" s="46" t="s">
        <v>78</v>
      </c>
      <c r="C1131" s="8" t="s">
        <v>224</v>
      </c>
      <c r="D1131" s="1" t="s">
        <v>204</v>
      </c>
      <c r="E1131" s="115">
        <v>243</v>
      </c>
      <c r="F1131" s="7"/>
      <c r="G1131" s="7"/>
      <c r="H1131" s="36"/>
      <c r="I1131" s="7">
        <f>'прил.5'!J1460</f>
        <v>594.6</v>
      </c>
      <c r="J1131" s="36">
        <f t="shared" si="228"/>
        <v>594.6</v>
      </c>
      <c r="K1131" s="7">
        <f>'прил.5'!L1460</f>
        <v>0</v>
      </c>
      <c r="L1131" s="36">
        <f t="shared" si="240"/>
        <v>594.6</v>
      </c>
      <c r="M1131" s="7">
        <f>'прил.5'!N1460</f>
        <v>0</v>
      </c>
      <c r="N1131" s="36">
        <f t="shared" si="241"/>
        <v>594.6</v>
      </c>
      <c r="O1131" s="7">
        <f>'прил.5'!P1460</f>
        <v>0</v>
      </c>
      <c r="P1131" s="36">
        <f t="shared" si="237"/>
        <v>594.6</v>
      </c>
      <c r="Q1131" s="7">
        <f>'прил.5'!R1460</f>
        <v>-118.7</v>
      </c>
      <c r="R1131" s="36">
        <f t="shared" si="234"/>
        <v>475.90000000000003</v>
      </c>
    </row>
    <row r="1132" spans="1:18" ht="12.75">
      <c r="A1132" s="62" t="str">
        <f ca="1">IF(ISERROR(MATCH(C1132,Код_Раздел,0)),"",INDIRECT(ADDRESS(MATCH(C1132,Код_Раздел,0)+1,2,,,"Раздел")))</f>
        <v>Жилищно-коммунальное хозяйство</v>
      </c>
      <c r="B1132" s="46" t="s">
        <v>78</v>
      </c>
      <c r="C1132" s="8" t="s">
        <v>229</v>
      </c>
      <c r="D1132" s="1"/>
      <c r="E1132" s="129"/>
      <c r="F1132" s="7"/>
      <c r="G1132" s="7"/>
      <c r="H1132" s="36"/>
      <c r="I1132" s="7"/>
      <c r="J1132" s="36"/>
      <c r="K1132" s="7"/>
      <c r="L1132" s="36"/>
      <c r="M1132" s="7"/>
      <c r="N1132" s="36"/>
      <c r="O1132" s="7"/>
      <c r="P1132" s="36"/>
      <c r="Q1132" s="7">
        <f>Q1133</f>
        <v>186.4</v>
      </c>
      <c r="R1132" s="36">
        <f t="shared" si="234"/>
        <v>186.4</v>
      </c>
    </row>
    <row r="1133" spans="1:18" ht="12.75">
      <c r="A1133" s="12" t="s">
        <v>234</v>
      </c>
      <c r="B1133" s="46" t="s">
        <v>78</v>
      </c>
      <c r="C1133" s="8" t="s">
        <v>229</v>
      </c>
      <c r="D1133" s="1" t="s">
        <v>221</v>
      </c>
      <c r="E1133" s="129"/>
      <c r="F1133" s="7"/>
      <c r="G1133" s="7"/>
      <c r="H1133" s="36"/>
      <c r="I1133" s="7"/>
      <c r="J1133" s="36"/>
      <c r="K1133" s="7"/>
      <c r="L1133" s="36"/>
      <c r="M1133" s="7"/>
      <c r="N1133" s="36"/>
      <c r="O1133" s="7"/>
      <c r="P1133" s="36"/>
      <c r="Q1133" s="7">
        <f>Q1134</f>
        <v>186.4</v>
      </c>
      <c r="R1133" s="36">
        <f t="shared" si="234"/>
        <v>186.4</v>
      </c>
    </row>
    <row r="1134" spans="1:18" ht="12.75">
      <c r="A1134" s="62" t="str">
        <f ca="1">IF(ISERROR(MATCH(E1134,Код_КВР,0)),"",INDIRECT(ADDRESS(MATCH(E1134,Код_КВР,0)+1,2,,,"КВР")))</f>
        <v>Закупка товаров, работ и услуг для муниципальных нужд</v>
      </c>
      <c r="B1134" s="46" t="s">
        <v>78</v>
      </c>
      <c r="C1134" s="8" t="s">
        <v>229</v>
      </c>
      <c r="D1134" s="1" t="s">
        <v>221</v>
      </c>
      <c r="E1134" s="129">
        <v>200</v>
      </c>
      <c r="F1134" s="7"/>
      <c r="G1134" s="7"/>
      <c r="H1134" s="36"/>
      <c r="I1134" s="7"/>
      <c r="J1134" s="36"/>
      <c r="K1134" s="7"/>
      <c r="L1134" s="36"/>
      <c r="M1134" s="7"/>
      <c r="N1134" s="36"/>
      <c r="O1134" s="7"/>
      <c r="P1134" s="36"/>
      <c r="Q1134" s="7">
        <f>Q1135</f>
        <v>186.4</v>
      </c>
      <c r="R1134" s="36">
        <f t="shared" si="234"/>
        <v>186.4</v>
      </c>
    </row>
    <row r="1135" spans="1:18" ht="33">
      <c r="A1135" s="62" t="str">
        <f ca="1">IF(ISERROR(MATCH(E1135,Код_КВР,0)),"",INDIRECT(ADDRESS(MATCH(E1135,Код_КВР,0)+1,2,,,"КВР")))</f>
        <v>Иные закупки товаров, работ и услуг для обеспечения муниципальных нужд</v>
      </c>
      <c r="B1135" s="46" t="s">
        <v>78</v>
      </c>
      <c r="C1135" s="8" t="s">
        <v>229</v>
      </c>
      <c r="D1135" s="1" t="s">
        <v>221</v>
      </c>
      <c r="E1135" s="129">
        <v>240</v>
      </c>
      <c r="F1135" s="7"/>
      <c r="G1135" s="7"/>
      <c r="H1135" s="36"/>
      <c r="I1135" s="7"/>
      <c r="J1135" s="36"/>
      <c r="K1135" s="7"/>
      <c r="L1135" s="36"/>
      <c r="M1135" s="7"/>
      <c r="N1135" s="36"/>
      <c r="O1135" s="7"/>
      <c r="P1135" s="36"/>
      <c r="Q1135" s="7">
        <f>Q1136</f>
        <v>186.4</v>
      </c>
      <c r="R1135" s="36">
        <f t="shared" si="234"/>
        <v>186.4</v>
      </c>
    </row>
    <row r="1136" spans="1:18" ht="33">
      <c r="A1136" s="62" t="str">
        <f ca="1">IF(ISERROR(MATCH(E1136,Код_КВР,0)),"",INDIRECT(ADDRESS(MATCH(E1136,Код_КВР,0)+1,2,,,"КВР")))</f>
        <v>Закупка товаров, работ, услуг в целях капитального ремонта муниципального имущества</v>
      </c>
      <c r="B1136" s="46" t="s">
        <v>78</v>
      </c>
      <c r="C1136" s="8" t="s">
        <v>229</v>
      </c>
      <c r="D1136" s="1" t="s">
        <v>221</v>
      </c>
      <c r="E1136" s="129">
        <v>243</v>
      </c>
      <c r="F1136" s="7"/>
      <c r="G1136" s="7"/>
      <c r="H1136" s="36"/>
      <c r="I1136" s="7"/>
      <c r="J1136" s="36"/>
      <c r="K1136" s="7"/>
      <c r="L1136" s="36"/>
      <c r="M1136" s="7"/>
      <c r="N1136" s="36"/>
      <c r="O1136" s="7"/>
      <c r="P1136" s="36"/>
      <c r="Q1136" s="7">
        <f>'прил.5'!R1492</f>
        <v>186.4</v>
      </c>
      <c r="R1136" s="36">
        <f t="shared" si="234"/>
        <v>186.4</v>
      </c>
    </row>
    <row r="1137" spans="1:18" ht="12.75">
      <c r="A1137" s="62" t="str">
        <f ca="1">IF(ISERROR(MATCH(C1137,Код_Раздел,0)),"",INDIRECT(ADDRESS(MATCH(C1137,Код_Раздел,0)+1,2,,,"Раздел")))</f>
        <v>Образование</v>
      </c>
      <c r="B1137" s="46" t="s">
        <v>78</v>
      </c>
      <c r="C1137" s="8" t="s">
        <v>203</v>
      </c>
      <c r="D1137" s="1"/>
      <c r="E1137" s="115"/>
      <c r="F1137" s="7">
        <f>F1138+F1142</f>
        <v>37685.1</v>
      </c>
      <c r="G1137" s="7">
        <f>G1138+G1142</f>
        <v>0</v>
      </c>
      <c r="H1137" s="36">
        <f t="shared" si="230"/>
        <v>37685.1</v>
      </c>
      <c r="I1137" s="7">
        <f>I1138+I1142</f>
        <v>0</v>
      </c>
      <c r="J1137" s="36">
        <f t="shared" si="228"/>
        <v>37685.1</v>
      </c>
      <c r="K1137" s="7">
        <f>K1138+K1142</f>
        <v>0</v>
      </c>
      <c r="L1137" s="36">
        <f t="shared" si="240"/>
        <v>37685.1</v>
      </c>
      <c r="M1137" s="7">
        <f>M1138+M1142</f>
        <v>0</v>
      </c>
      <c r="N1137" s="36">
        <f t="shared" si="241"/>
        <v>37685.1</v>
      </c>
      <c r="O1137" s="7">
        <f>O1138+O1142</f>
        <v>0</v>
      </c>
      <c r="P1137" s="36">
        <f t="shared" si="237"/>
        <v>37685.1</v>
      </c>
      <c r="Q1137" s="7">
        <f>Q1138+Q1142</f>
        <v>-8644.8</v>
      </c>
      <c r="R1137" s="36">
        <f t="shared" si="234"/>
        <v>29040.3</v>
      </c>
    </row>
    <row r="1138" spans="1:18" ht="12.75">
      <c r="A1138" s="12" t="s">
        <v>258</v>
      </c>
      <c r="B1138" s="46" t="s">
        <v>78</v>
      </c>
      <c r="C1138" s="8" t="s">
        <v>203</v>
      </c>
      <c r="D1138" s="1" t="s">
        <v>222</v>
      </c>
      <c r="E1138" s="115"/>
      <c r="F1138" s="7">
        <f aca="true" t="shared" si="243" ref="F1138:Q1140">F1139</f>
        <v>31933.8</v>
      </c>
      <c r="G1138" s="7">
        <f t="shared" si="243"/>
        <v>0</v>
      </c>
      <c r="H1138" s="36">
        <f t="shared" si="230"/>
        <v>31933.8</v>
      </c>
      <c r="I1138" s="7">
        <f t="shared" si="243"/>
        <v>0</v>
      </c>
      <c r="J1138" s="36">
        <f t="shared" si="228"/>
        <v>31933.8</v>
      </c>
      <c r="K1138" s="7">
        <f t="shared" si="243"/>
        <v>0</v>
      </c>
      <c r="L1138" s="36">
        <f t="shared" si="240"/>
        <v>31933.8</v>
      </c>
      <c r="M1138" s="7">
        <f t="shared" si="243"/>
        <v>0</v>
      </c>
      <c r="N1138" s="36">
        <f t="shared" si="241"/>
        <v>31933.8</v>
      </c>
      <c r="O1138" s="7">
        <f t="shared" si="243"/>
        <v>0</v>
      </c>
      <c r="P1138" s="36">
        <f t="shared" si="237"/>
        <v>31933.8</v>
      </c>
      <c r="Q1138" s="7">
        <f t="shared" si="243"/>
        <v>-2893.5</v>
      </c>
      <c r="R1138" s="36">
        <f t="shared" si="234"/>
        <v>29040.3</v>
      </c>
    </row>
    <row r="1139" spans="1:18" ht="12.75">
      <c r="A1139" s="62" t="str">
        <f ca="1">IF(ISERROR(MATCH(E1139,Код_КВР,0)),"",INDIRECT(ADDRESS(MATCH(E1139,Код_КВР,0)+1,2,,,"КВР")))</f>
        <v>Закупка товаров, работ и услуг для муниципальных нужд</v>
      </c>
      <c r="B1139" s="46" t="s">
        <v>78</v>
      </c>
      <c r="C1139" s="8" t="s">
        <v>203</v>
      </c>
      <c r="D1139" s="1" t="s">
        <v>222</v>
      </c>
      <c r="E1139" s="115">
        <v>200</v>
      </c>
      <c r="F1139" s="7">
        <f t="shared" si="243"/>
        <v>31933.8</v>
      </c>
      <c r="G1139" s="7">
        <f t="shared" si="243"/>
        <v>0</v>
      </c>
      <c r="H1139" s="36">
        <f t="shared" si="230"/>
        <v>31933.8</v>
      </c>
      <c r="I1139" s="7">
        <f t="shared" si="243"/>
        <v>0</v>
      </c>
      <c r="J1139" s="36">
        <f t="shared" si="228"/>
        <v>31933.8</v>
      </c>
      <c r="K1139" s="7">
        <f t="shared" si="243"/>
        <v>0</v>
      </c>
      <c r="L1139" s="36">
        <f t="shared" si="240"/>
        <v>31933.8</v>
      </c>
      <c r="M1139" s="7">
        <f t="shared" si="243"/>
        <v>0</v>
      </c>
      <c r="N1139" s="36">
        <f t="shared" si="241"/>
        <v>31933.8</v>
      </c>
      <c r="O1139" s="7">
        <f t="shared" si="243"/>
        <v>0</v>
      </c>
      <c r="P1139" s="36">
        <f t="shared" si="237"/>
        <v>31933.8</v>
      </c>
      <c r="Q1139" s="7">
        <f t="shared" si="243"/>
        <v>-2893.5</v>
      </c>
      <c r="R1139" s="36">
        <f t="shared" si="234"/>
        <v>29040.3</v>
      </c>
    </row>
    <row r="1140" spans="1:18" ht="33">
      <c r="A1140" s="62" t="str">
        <f ca="1">IF(ISERROR(MATCH(E1140,Код_КВР,0)),"",INDIRECT(ADDRESS(MATCH(E1140,Код_КВР,0)+1,2,,,"КВР")))</f>
        <v>Иные закупки товаров, работ и услуг для обеспечения муниципальных нужд</v>
      </c>
      <c r="B1140" s="46" t="s">
        <v>78</v>
      </c>
      <c r="C1140" s="8" t="s">
        <v>203</v>
      </c>
      <c r="D1140" s="1" t="s">
        <v>222</v>
      </c>
      <c r="E1140" s="115">
        <v>240</v>
      </c>
      <c r="F1140" s="7">
        <f t="shared" si="243"/>
        <v>31933.8</v>
      </c>
      <c r="G1140" s="7">
        <f t="shared" si="243"/>
        <v>0</v>
      </c>
      <c r="H1140" s="36">
        <f t="shared" si="230"/>
        <v>31933.8</v>
      </c>
      <c r="I1140" s="7">
        <f t="shared" si="243"/>
        <v>0</v>
      </c>
      <c r="J1140" s="36">
        <f t="shared" si="228"/>
        <v>31933.8</v>
      </c>
      <c r="K1140" s="7">
        <f t="shared" si="243"/>
        <v>0</v>
      </c>
      <c r="L1140" s="36">
        <f t="shared" si="240"/>
        <v>31933.8</v>
      </c>
      <c r="M1140" s="7">
        <f t="shared" si="243"/>
        <v>0</v>
      </c>
      <c r="N1140" s="36">
        <f t="shared" si="241"/>
        <v>31933.8</v>
      </c>
      <c r="O1140" s="7">
        <f t="shared" si="243"/>
        <v>0</v>
      </c>
      <c r="P1140" s="36">
        <f t="shared" si="237"/>
        <v>31933.8</v>
      </c>
      <c r="Q1140" s="7">
        <f t="shared" si="243"/>
        <v>-2893.5</v>
      </c>
      <c r="R1140" s="36">
        <f t="shared" si="234"/>
        <v>29040.3</v>
      </c>
    </row>
    <row r="1141" spans="1:18" ht="33">
      <c r="A1141" s="62" t="str">
        <f ca="1">IF(ISERROR(MATCH(E1141,Код_КВР,0)),"",INDIRECT(ADDRESS(MATCH(E1141,Код_КВР,0)+1,2,,,"КВР")))</f>
        <v>Закупка товаров, работ, услуг в целях капитального ремонта муниципального имущества</v>
      </c>
      <c r="B1141" s="46" t="s">
        <v>78</v>
      </c>
      <c r="C1141" s="8" t="s">
        <v>203</v>
      </c>
      <c r="D1141" s="1" t="s">
        <v>222</v>
      </c>
      <c r="E1141" s="115">
        <v>243</v>
      </c>
      <c r="F1141" s="7">
        <f>'прил.5'!G1517</f>
        <v>31933.8</v>
      </c>
      <c r="G1141" s="7">
        <f>'прил.5'!H1517</f>
        <v>0</v>
      </c>
      <c r="H1141" s="36">
        <f t="shared" si="230"/>
        <v>31933.8</v>
      </c>
      <c r="I1141" s="7">
        <f>'прил.5'!J1517</f>
        <v>0</v>
      </c>
      <c r="J1141" s="36">
        <f t="shared" si="228"/>
        <v>31933.8</v>
      </c>
      <c r="K1141" s="7">
        <f>'прил.5'!L1517</f>
        <v>0</v>
      </c>
      <c r="L1141" s="36">
        <f t="shared" si="240"/>
        <v>31933.8</v>
      </c>
      <c r="M1141" s="7">
        <f>'прил.5'!N1517</f>
        <v>0</v>
      </c>
      <c r="N1141" s="36">
        <f t="shared" si="241"/>
        <v>31933.8</v>
      </c>
      <c r="O1141" s="7">
        <f>'прил.5'!P1517</f>
        <v>0</v>
      </c>
      <c r="P1141" s="36">
        <f t="shared" si="237"/>
        <v>31933.8</v>
      </c>
      <c r="Q1141" s="7">
        <f>'прил.5'!R1517</f>
        <v>-2893.5</v>
      </c>
      <c r="R1141" s="36">
        <f t="shared" si="234"/>
        <v>29040.3</v>
      </c>
    </row>
    <row r="1142" spans="1:18" ht="12.75">
      <c r="A1142" s="12" t="s">
        <v>259</v>
      </c>
      <c r="B1142" s="46" t="s">
        <v>78</v>
      </c>
      <c r="C1142" s="8" t="s">
        <v>203</v>
      </c>
      <c r="D1142" s="1" t="s">
        <v>227</v>
      </c>
      <c r="E1142" s="115"/>
      <c r="F1142" s="7">
        <f aca="true" t="shared" si="244" ref="F1142:Q1144">F1143</f>
        <v>5751.3</v>
      </c>
      <c r="G1142" s="7">
        <f t="shared" si="244"/>
        <v>0</v>
      </c>
      <c r="H1142" s="36">
        <f t="shared" si="230"/>
        <v>5751.3</v>
      </c>
      <c r="I1142" s="7">
        <f t="shared" si="244"/>
        <v>0</v>
      </c>
      <c r="J1142" s="36">
        <f t="shared" si="228"/>
        <v>5751.3</v>
      </c>
      <c r="K1142" s="7">
        <f t="shared" si="244"/>
        <v>0</v>
      </c>
      <c r="L1142" s="36">
        <f t="shared" si="240"/>
        <v>5751.3</v>
      </c>
      <c r="M1142" s="7">
        <f t="shared" si="244"/>
        <v>0</v>
      </c>
      <c r="N1142" s="36">
        <f t="shared" si="241"/>
        <v>5751.3</v>
      </c>
      <c r="O1142" s="7">
        <f t="shared" si="244"/>
        <v>0</v>
      </c>
      <c r="P1142" s="36">
        <f t="shared" si="237"/>
        <v>5751.3</v>
      </c>
      <c r="Q1142" s="7">
        <f t="shared" si="244"/>
        <v>-5751.3</v>
      </c>
      <c r="R1142" s="36">
        <f t="shared" si="234"/>
        <v>0</v>
      </c>
    </row>
    <row r="1143" spans="1:18" ht="12.75">
      <c r="A1143" s="62" t="str">
        <f ca="1">IF(ISERROR(MATCH(E1143,Код_КВР,0)),"",INDIRECT(ADDRESS(MATCH(E1143,Код_КВР,0)+1,2,,,"КВР")))</f>
        <v>Закупка товаров, работ и услуг для муниципальных нужд</v>
      </c>
      <c r="B1143" s="46" t="s">
        <v>78</v>
      </c>
      <c r="C1143" s="8" t="s">
        <v>203</v>
      </c>
      <c r="D1143" s="1" t="s">
        <v>227</v>
      </c>
      <c r="E1143" s="115">
        <v>200</v>
      </c>
      <c r="F1143" s="7">
        <f t="shared" si="244"/>
        <v>5751.3</v>
      </c>
      <c r="G1143" s="7">
        <f t="shared" si="244"/>
        <v>0</v>
      </c>
      <c r="H1143" s="36">
        <f t="shared" si="230"/>
        <v>5751.3</v>
      </c>
      <c r="I1143" s="7">
        <f t="shared" si="244"/>
        <v>0</v>
      </c>
      <c r="J1143" s="36">
        <f t="shared" si="228"/>
        <v>5751.3</v>
      </c>
      <c r="K1143" s="7">
        <f t="shared" si="244"/>
        <v>0</v>
      </c>
      <c r="L1143" s="36">
        <f t="shared" si="240"/>
        <v>5751.3</v>
      </c>
      <c r="M1143" s="7">
        <f t="shared" si="244"/>
        <v>0</v>
      </c>
      <c r="N1143" s="36">
        <f t="shared" si="241"/>
        <v>5751.3</v>
      </c>
      <c r="O1143" s="7">
        <f t="shared" si="244"/>
        <v>0</v>
      </c>
      <c r="P1143" s="36">
        <f t="shared" si="237"/>
        <v>5751.3</v>
      </c>
      <c r="Q1143" s="7">
        <f t="shared" si="244"/>
        <v>-5751.3</v>
      </c>
      <c r="R1143" s="36">
        <f t="shared" si="234"/>
        <v>0</v>
      </c>
    </row>
    <row r="1144" spans="1:18" ht="33">
      <c r="A1144" s="62" t="str">
        <f ca="1">IF(ISERROR(MATCH(E1144,Код_КВР,0)),"",INDIRECT(ADDRESS(MATCH(E1144,Код_КВР,0)+1,2,,,"КВР")))</f>
        <v>Иные закупки товаров, работ и услуг для обеспечения муниципальных нужд</v>
      </c>
      <c r="B1144" s="46" t="s">
        <v>78</v>
      </c>
      <c r="C1144" s="8" t="s">
        <v>203</v>
      </c>
      <c r="D1144" s="1" t="s">
        <v>227</v>
      </c>
      <c r="E1144" s="115">
        <v>240</v>
      </c>
      <c r="F1144" s="7">
        <f t="shared" si="244"/>
        <v>5751.3</v>
      </c>
      <c r="G1144" s="7">
        <f t="shared" si="244"/>
        <v>0</v>
      </c>
      <c r="H1144" s="36">
        <f t="shared" si="230"/>
        <v>5751.3</v>
      </c>
      <c r="I1144" s="7">
        <f t="shared" si="244"/>
        <v>0</v>
      </c>
      <c r="J1144" s="36">
        <f t="shared" si="228"/>
        <v>5751.3</v>
      </c>
      <c r="K1144" s="7">
        <f t="shared" si="244"/>
        <v>0</v>
      </c>
      <c r="L1144" s="36">
        <f t="shared" si="240"/>
        <v>5751.3</v>
      </c>
      <c r="M1144" s="7">
        <f t="shared" si="244"/>
        <v>0</v>
      </c>
      <c r="N1144" s="36">
        <f t="shared" si="241"/>
        <v>5751.3</v>
      </c>
      <c r="O1144" s="7">
        <f t="shared" si="244"/>
        <v>0</v>
      </c>
      <c r="P1144" s="36">
        <f t="shared" si="237"/>
        <v>5751.3</v>
      </c>
      <c r="Q1144" s="7">
        <f t="shared" si="244"/>
        <v>-5751.3</v>
      </c>
      <c r="R1144" s="36">
        <f t="shared" si="234"/>
        <v>0</v>
      </c>
    </row>
    <row r="1145" spans="1:18" ht="33">
      <c r="A1145" s="62" t="str">
        <f ca="1">IF(ISERROR(MATCH(E1145,Код_КВР,0)),"",INDIRECT(ADDRESS(MATCH(E1145,Код_КВР,0)+1,2,,,"КВР")))</f>
        <v>Закупка товаров, работ, услуг в целях капитального ремонта муниципального имущества</v>
      </c>
      <c r="B1145" s="46" t="s">
        <v>78</v>
      </c>
      <c r="C1145" s="8" t="s">
        <v>203</v>
      </c>
      <c r="D1145" s="1" t="s">
        <v>227</v>
      </c>
      <c r="E1145" s="115">
        <v>243</v>
      </c>
      <c r="F1145" s="7">
        <f>'прил.5'!G1557</f>
        <v>5751.3</v>
      </c>
      <c r="G1145" s="7">
        <f>'прил.5'!H1557</f>
        <v>0</v>
      </c>
      <c r="H1145" s="36">
        <f t="shared" si="230"/>
        <v>5751.3</v>
      </c>
      <c r="I1145" s="7">
        <f>'прил.5'!J1557</f>
        <v>0</v>
      </c>
      <c r="J1145" s="36">
        <f t="shared" si="228"/>
        <v>5751.3</v>
      </c>
      <c r="K1145" s="7">
        <f>'прил.5'!L1557</f>
        <v>0</v>
      </c>
      <c r="L1145" s="36">
        <f t="shared" si="240"/>
        <v>5751.3</v>
      </c>
      <c r="M1145" s="7">
        <f>'прил.5'!N1557</f>
        <v>0</v>
      </c>
      <c r="N1145" s="36">
        <f t="shared" si="241"/>
        <v>5751.3</v>
      </c>
      <c r="O1145" s="7">
        <f>'прил.5'!P1557</f>
        <v>0</v>
      </c>
      <c r="P1145" s="36">
        <f t="shared" si="237"/>
        <v>5751.3</v>
      </c>
      <c r="Q1145" s="7">
        <f>'прил.5'!R1557</f>
        <v>-5751.3</v>
      </c>
      <c r="R1145" s="36">
        <f t="shared" si="234"/>
        <v>0</v>
      </c>
    </row>
    <row r="1146" spans="1:18" ht="12.75">
      <c r="A1146" s="62" t="str">
        <f ca="1">IF(ISERROR(MATCH(C1146,Код_Раздел,0)),"",INDIRECT(ADDRESS(MATCH(C1146,Код_Раздел,0)+1,2,,,"Раздел")))</f>
        <v>Культура, кинематография</v>
      </c>
      <c r="B1146" s="46" t="s">
        <v>78</v>
      </c>
      <c r="C1146" s="8" t="s">
        <v>230</v>
      </c>
      <c r="D1146" s="1"/>
      <c r="E1146" s="115"/>
      <c r="F1146" s="7"/>
      <c r="G1146" s="7"/>
      <c r="H1146" s="36"/>
      <c r="I1146" s="7"/>
      <c r="J1146" s="36"/>
      <c r="K1146" s="7">
        <f>K1147</f>
        <v>1712.9</v>
      </c>
      <c r="L1146" s="36">
        <f t="shared" si="240"/>
        <v>1712.9</v>
      </c>
      <c r="M1146" s="7">
        <f>M1147</f>
        <v>0</v>
      </c>
      <c r="N1146" s="36">
        <f t="shared" si="241"/>
        <v>1712.9</v>
      </c>
      <c r="O1146" s="7">
        <f>O1147</f>
        <v>0</v>
      </c>
      <c r="P1146" s="36">
        <f t="shared" si="237"/>
        <v>1712.9</v>
      </c>
      <c r="Q1146" s="7">
        <f>Q1147</f>
        <v>0</v>
      </c>
      <c r="R1146" s="36">
        <f t="shared" si="234"/>
        <v>1712.9</v>
      </c>
    </row>
    <row r="1147" spans="1:18" ht="12.75">
      <c r="A1147" s="12" t="s">
        <v>192</v>
      </c>
      <c r="B1147" s="46" t="s">
        <v>78</v>
      </c>
      <c r="C1147" s="8" t="s">
        <v>230</v>
      </c>
      <c r="D1147" s="1" t="s">
        <v>221</v>
      </c>
      <c r="E1147" s="115"/>
      <c r="F1147" s="7"/>
      <c r="G1147" s="7"/>
      <c r="H1147" s="36"/>
      <c r="I1147" s="7"/>
      <c r="J1147" s="36"/>
      <c r="K1147" s="7">
        <f>K1148</f>
        <v>1712.9</v>
      </c>
      <c r="L1147" s="36">
        <f t="shared" si="240"/>
        <v>1712.9</v>
      </c>
      <c r="M1147" s="7">
        <f>M1148</f>
        <v>0</v>
      </c>
      <c r="N1147" s="36">
        <f t="shared" si="241"/>
        <v>1712.9</v>
      </c>
      <c r="O1147" s="7">
        <f>O1148</f>
        <v>0</v>
      </c>
      <c r="P1147" s="36">
        <f t="shared" si="237"/>
        <v>1712.9</v>
      </c>
      <c r="Q1147" s="7">
        <f>Q1148</f>
        <v>0</v>
      </c>
      <c r="R1147" s="36">
        <f t="shared" si="234"/>
        <v>1712.9</v>
      </c>
    </row>
    <row r="1148" spans="1:18" ht="12.75">
      <c r="A1148" s="62" t="str">
        <f ca="1">IF(ISERROR(MATCH(E1148,Код_КВР,0)),"",INDIRECT(ADDRESS(MATCH(E1148,Код_КВР,0)+1,2,,,"КВР")))</f>
        <v>Закупка товаров, работ и услуг для муниципальных нужд</v>
      </c>
      <c r="B1148" s="46" t="s">
        <v>78</v>
      </c>
      <c r="C1148" s="8" t="s">
        <v>230</v>
      </c>
      <c r="D1148" s="1" t="s">
        <v>221</v>
      </c>
      <c r="E1148" s="115">
        <v>200</v>
      </c>
      <c r="F1148" s="7"/>
      <c r="G1148" s="7"/>
      <c r="H1148" s="36"/>
      <c r="I1148" s="7"/>
      <c r="J1148" s="36"/>
      <c r="K1148" s="7">
        <f>K1149</f>
        <v>1712.9</v>
      </c>
      <c r="L1148" s="36">
        <f t="shared" si="240"/>
        <v>1712.9</v>
      </c>
      <c r="M1148" s="7">
        <f>M1149</f>
        <v>0</v>
      </c>
      <c r="N1148" s="36">
        <f t="shared" si="241"/>
        <v>1712.9</v>
      </c>
      <c r="O1148" s="7">
        <f>O1149</f>
        <v>0</v>
      </c>
      <c r="P1148" s="36">
        <f t="shared" si="237"/>
        <v>1712.9</v>
      </c>
      <c r="Q1148" s="7">
        <f>Q1149</f>
        <v>0</v>
      </c>
      <c r="R1148" s="36">
        <f t="shared" si="234"/>
        <v>1712.9</v>
      </c>
    </row>
    <row r="1149" spans="1:18" ht="33">
      <c r="A1149" s="62" t="str">
        <f ca="1">IF(ISERROR(MATCH(E1149,Код_КВР,0)),"",INDIRECT(ADDRESS(MATCH(E1149,Код_КВР,0)+1,2,,,"КВР")))</f>
        <v>Иные закупки товаров, работ и услуг для обеспечения муниципальных нужд</v>
      </c>
      <c r="B1149" s="46" t="s">
        <v>78</v>
      </c>
      <c r="C1149" s="8" t="s">
        <v>230</v>
      </c>
      <c r="D1149" s="1" t="s">
        <v>221</v>
      </c>
      <c r="E1149" s="115">
        <v>240</v>
      </c>
      <c r="F1149" s="7"/>
      <c r="G1149" s="7"/>
      <c r="H1149" s="36"/>
      <c r="I1149" s="7"/>
      <c r="J1149" s="36"/>
      <c r="K1149" s="7">
        <f>K1150</f>
        <v>1712.9</v>
      </c>
      <c r="L1149" s="36">
        <f t="shared" si="240"/>
        <v>1712.9</v>
      </c>
      <c r="M1149" s="7">
        <f>M1150</f>
        <v>0</v>
      </c>
      <c r="N1149" s="36">
        <f t="shared" si="241"/>
        <v>1712.9</v>
      </c>
      <c r="O1149" s="7">
        <f>O1150</f>
        <v>0</v>
      </c>
      <c r="P1149" s="36">
        <f t="shared" si="237"/>
        <v>1712.9</v>
      </c>
      <c r="Q1149" s="7">
        <f>Q1150</f>
        <v>0</v>
      </c>
      <c r="R1149" s="36">
        <f t="shared" si="234"/>
        <v>1712.9</v>
      </c>
    </row>
    <row r="1150" spans="1:18" ht="33">
      <c r="A1150" s="62" t="str">
        <f ca="1">IF(ISERROR(MATCH(E1150,Код_КВР,0)),"",INDIRECT(ADDRESS(MATCH(E1150,Код_КВР,0)+1,2,,,"КВР")))</f>
        <v>Закупка товаров, работ, услуг в целях капитального ремонта муниципального имущества</v>
      </c>
      <c r="B1150" s="46" t="s">
        <v>78</v>
      </c>
      <c r="C1150" s="8" t="s">
        <v>230</v>
      </c>
      <c r="D1150" s="1" t="s">
        <v>221</v>
      </c>
      <c r="E1150" s="115">
        <v>243</v>
      </c>
      <c r="F1150" s="7"/>
      <c r="G1150" s="7"/>
      <c r="H1150" s="36"/>
      <c r="I1150" s="7"/>
      <c r="J1150" s="36"/>
      <c r="K1150" s="7">
        <f>'прил.5'!L1568</f>
        <v>1712.9</v>
      </c>
      <c r="L1150" s="36">
        <f t="shared" si="240"/>
        <v>1712.9</v>
      </c>
      <c r="M1150" s="7">
        <f>'прил.5'!N1568</f>
        <v>0</v>
      </c>
      <c r="N1150" s="36">
        <f t="shared" si="241"/>
        <v>1712.9</v>
      </c>
      <c r="O1150" s="7">
        <f>'прил.5'!P1568</f>
        <v>0</v>
      </c>
      <c r="P1150" s="36">
        <f t="shared" si="237"/>
        <v>1712.9</v>
      </c>
      <c r="Q1150" s="7">
        <f>'прил.5'!R1568</f>
        <v>0</v>
      </c>
      <c r="R1150" s="36">
        <f t="shared" si="234"/>
        <v>1712.9</v>
      </c>
    </row>
    <row r="1151" spans="1:18" ht="69" customHeight="1">
      <c r="A1151" s="62" t="str">
        <f ca="1">IF(ISERROR(MATCH(B1151,Код_КЦСР,0)),"",INDIRECT(ADDRESS(MATCH(B1151,Код_КЦСР,0)+1,2,,,"КЦСР")))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51" s="46" t="s">
        <v>79</v>
      </c>
      <c r="C1151" s="8"/>
      <c r="D1151" s="1"/>
      <c r="E1151" s="115"/>
      <c r="F1151" s="7">
        <f>F1152</f>
        <v>49603.399999999994</v>
      </c>
      <c r="G1151" s="7">
        <f>G1152</f>
        <v>0</v>
      </c>
      <c r="H1151" s="36">
        <f t="shared" si="230"/>
        <v>49603.399999999994</v>
      </c>
      <c r="I1151" s="7">
        <f>I1152</f>
        <v>0</v>
      </c>
      <c r="J1151" s="36">
        <f aca="true" t="shared" si="245" ref="J1151:J1225">H1151+I1151</f>
        <v>49603.399999999994</v>
      </c>
      <c r="K1151" s="7">
        <f>K1152</f>
        <v>13.300000000000011</v>
      </c>
      <c r="L1151" s="36">
        <f t="shared" si="240"/>
        <v>49616.7</v>
      </c>
      <c r="M1151" s="7">
        <f>M1152</f>
        <v>0</v>
      </c>
      <c r="N1151" s="36">
        <f t="shared" si="241"/>
        <v>49616.7</v>
      </c>
      <c r="O1151" s="7">
        <f>O1152</f>
        <v>0</v>
      </c>
      <c r="P1151" s="36">
        <f t="shared" si="237"/>
        <v>49616.7</v>
      </c>
      <c r="Q1151" s="7">
        <f>Q1152</f>
        <v>378</v>
      </c>
      <c r="R1151" s="36">
        <f t="shared" si="234"/>
        <v>49994.7</v>
      </c>
    </row>
    <row r="1152" spans="1:18" ht="12.75">
      <c r="A1152" s="62" t="str">
        <f ca="1">IF(ISERROR(MATCH(C1152,Код_Раздел,0)),"",INDIRECT(ADDRESS(MATCH(C1152,Код_Раздел,0)+1,2,,,"Раздел")))</f>
        <v>Национальная экономика</v>
      </c>
      <c r="B1152" s="46" t="s">
        <v>79</v>
      </c>
      <c r="C1152" s="8" t="s">
        <v>224</v>
      </c>
      <c r="D1152" s="1"/>
      <c r="E1152" s="115"/>
      <c r="F1152" s="7">
        <f>F1153</f>
        <v>49603.399999999994</v>
      </c>
      <c r="G1152" s="7">
        <f>G1153</f>
        <v>0</v>
      </c>
      <c r="H1152" s="36">
        <f t="shared" si="230"/>
        <v>49603.399999999994</v>
      </c>
      <c r="I1152" s="7">
        <f>I1153</f>
        <v>0</v>
      </c>
      <c r="J1152" s="36">
        <f t="shared" si="245"/>
        <v>49603.399999999994</v>
      </c>
      <c r="K1152" s="7">
        <f>K1153</f>
        <v>13.300000000000011</v>
      </c>
      <c r="L1152" s="36">
        <f t="shared" si="240"/>
        <v>49616.7</v>
      </c>
      <c r="M1152" s="7">
        <f>M1153</f>
        <v>0</v>
      </c>
      <c r="N1152" s="36">
        <f t="shared" si="241"/>
        <v>49616.7</v>
      </c>
      <c r="O1152" s="7">
        <f>O1153</f>
        <v>0</v>
      </c>
      <c r="P1152" s="36">
        <f t="shared" si="237"/>
        <v>49616.7</v>
      </c>
      <c r="Q1152" s="7">
        <f>Q1153</f>
        <v>378</v>
      </c>
      <c r="R1152" s="36">
        <f t="shared" si="234"/>
        <v>49994.7</v>
      </c>
    </row>
    <row r="1153" spans="1:18" ht="12.75">
      <c r="A1153" s="12" t="s">
        <v>231</v>
      </c>
      <c r="B1153" s="46" t="s">
        <v>79</v>
      </c>
      <c r="C1153" s="8" t="s">
        <v>224</v>
      </c>
      <c r="D1153" s="8" t="s">
        <v>204</v>
      </c>
      <c r="E1153" s="115"/>
      <c r="F1153" s="7">
        <f>F1154+F1156+F1159</f>
        <v>49603.399999999994</v>
      </c>
      <c r="G1153" s="7">
        <f>G1154+G1156+G1159</f>
        <v>0</v>
      </c>
      <c r="H1153" s="36">
        <f t="shared" si="230"/>
        <v>49603.399999999994</v>
      </c>
      <c r="I1153" s="7">
        <f>I1154+I1156+I1159</f>
        <v>0</v>
      </c>
      <c r="J1153" s="36">
        <f t="shared" si="245"/>
        <v>49603.399999999994</v>
      </c>
      <c r="K1153" s="7">
        <f>K1154+K1156+K1159</f>
        <v>13.300000000000011</v>
      </c>
      <c r="L1153" s="36">
        <f t="shared" si="240"/>
        <v>49616.7</v>
      </c>
      <c r="M1153" s="7">
        <f>M1154+M1156+M1159</f>
        <v>0</v>
      </c>
      <c r="N1153" s="36">
        <f t="shared" si="241"/>
        <v>49616.7</v>
      </c>
      <c r="O1153" s="7">
        <f>O1154+O1156+O1159</f>
        <v>0</v>
      </c>
      <c r="P1153" s="36">
        <f t="shared" si="237"/>
        <v>49616.7</v>
      </c>
      <c r="Q1153" s="7">
        <f>Q1154+Q1156+Q1159</f>
        <v>378</v>
      </c>
      <c r="R1153" s="36">
        <f aca="true" t="shared" si="246" ref="R1153:R1222">P1153+Q1153</f>
        <v>49994.7</v>
      </c>
    </row>
    <row r="1154" spans="1:18" ht="33">
      <c r="A1154" s="62" t="str">
        <f aca="true" t="shared" si="247" ref="A1154:A1162">IF(ISERROR(MATCH(E1154,Код_КВР,0)),"",INDIRECT(ADDRESS(MATCH(E1154,Код_КВР,0)+1,2,,,"КВР")))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4" s="46" t="s">
        <v>79</v>
      </c>
      <c r="C1154" s="8" t="s">
        <v>224</v>
      </c>
      <c r="D1154" s="8" t="s">
        <v>204</v>
      </c>
      <c r="E1154" s="115">
        <v>100</v>
      </c>
      <c r="F1154" s="7">
        <f>F1155</f>
        <v>46091.2</v>
      </c>
      <c r="G1154" s="7">
        <f>G1155</f>
        <v>0</v>
      </c>
      <c r="H1154" s="36">
        <f t="shared" si="230"/>
        <v>46091.2</v>
      </c>
      <c r="I1154" s="7">
        <f>I1155</f>
        <v>0</v>
      </c>
      <c r="J1154" s="36">
        <f t="shared" si="245"/>
        <v>46091.2</v>
      </c>
      <c r="K1154" s="7">
        <f>K1155</f>
        <v>-380.3</v>
      </c>
      <c r="L1154" s="36">
        <f t="shared" si="240"/>
        <v>45710.899999999994</v>
      </c>
      <c r="M1154" s="7">
        <f>M1155</f>
        <v>0</v>
      </c>
      <c r="N1154" s="36">
        <f t="shared" si="241"/>
        <v>45710.899999999994</v>
      </c>
      <c r="O1154" s="7">
        <f>O1155</f>
        <v>0</v>
      </c>
      <c r="P1154" s="36">
        <f t="shared" si="237"/>
        <v>45710.899999999994</v>
      </c>
      <c r="Q1154" s="7">
        <f>Q1155</f>
        <v>0</v>
      </c>
      <c r="R1154" s="36">
        <f t="shared" si="246"/>
        <v>45710.899999999994</v>
      </c>
    </row>
    <row r="1155" spans="1:18" ht="12.75">
      <c r="A1155" s="62" t="str">
        <f ca="1" t="shared" si="247"/>
        <v>Расходы на выплаты персоналу казенных учреждений</v>
      </c>
      <c r="B1155" s="46" t="s">
        <v>79</v>
      </c>
      <c r="C1155" s="8" t="s">
        <v>224</v>
      </c>
      <c r="D1155" s="8" t="s">
        <v>204</v>
      </c>
      <c r="E1155" s="115">
        <v>110</v>
      </c>
      <c r="F1155" s="7">
        <f>'прил.5'!G1463</f>
        <v>46091.2</v>
      </c>
      <c r="G1155" s="7">
        <f>'прил.5'!H1463</f>
        <v>0</v>
      </c>
      <c r="H1155" s="36">
        <f t="shared" si="230"/>
        <v>46091.2</v>
      </c>
      <c r="I1155" s="7">
        <f>'прил.5'!J1463</f>
        <v>0</v>
      </c>
      <c r="J1155" s="36">
        <f t="shared" si="245"/>
        <v>46091.2</v>
      </c>
      <c r="K1155" s="7">
        <f>'прил.5'!L1463</f>
        <v>-380.3</v>
      </c>
      <c r="L1155" s="36">
        <f t="shared" si="240"/>
        <v>45710.899999999994</v>
      </c>
      <c r="M1155" s="7">
        <f>'прил.5'!N1463</f>
        <v>0</v>
      </c>
      <c r="N1155" s="36">
        <f t="shared" si="241"/>
        <v>45710.899999999994</v>
      </c>
      <c r="O1155" s="7">
        <f>'прил.5'!P1463</f>
        <v>0</v>
      </c>
      <c r="P1155" s="36">
        <f t="shared" si="237"/>
        <v>45710.899999999994</v>
      </c>
      <c r="Q1155" s="7">
        <f>'прил.5'!R1463</f>
        <v>0</v>
      </c>
      <c r="R1155" s="36">
        <f t="shared" si="246"/>
        <v>45710.899999999994</v>
      </c>
    </row>
    <row r="1156" spans="1:18" ht="12.75">
      <c r="A1156" s="62" t="str">
        <f ca="1" t="shared" si="247"/>
        <v>Закупка товаров, работ и услуг для муниципальных нужд</v>
      </c>
      <c r="B1156" s="46" t="s">
        <v>79</v>
      </c>
      <c r="C1156" s="8" t="s">
        <v>224</v>
      </c>
      <c r="D1156" s="8" t="s">
        <v>204</v>
      </c>
      <c r="E1156" s="115">
        <v>200</v>
      </c>
      <c r="F1156" s="7">
        <f>F1157</f>
        <v>2827.7</v>
      </c>
      <c r="G1156" s="7">
        <f>G1157</f>
        <v>0</v>
      </c>
      <c r="H1156" s="36">
        <f t="shared" si="230"/>
        <v>2827.7</v>
      </c>
      <c r="I1156" s="7">
        <f>I1157</f>
        <v>0</v>
      </c>
      <c r="J1156" s="36">
        <f t="shared" si="245"/>
        <v>2827.7</v>
      </c>
      <c r="K1156" s="7">
        <f>K1157</f>
        <v>393.6</v>
      </c>
      <c r="L1156" s="36">
        <f t="shared" si="240"/>
        <v>3221.2999999999997</v>
      </c>
      <c r="M1156" s="7">
        <f>M1157</f>
        <v>0</v>
      </c>
      <c r="N1156" s="36">
        <f t="shared" si="241"/>
        <v>3221.2999999999997</v>
      </c>
      <c r="O1156" s="7">
        <f>O1157</f>
        <v>0</v>
      </c>
      <c r="P1156" s="36">
        <f t="shared" si="237"/>
        <v>3221.2999999999997</v>
      </c>
      <c r="Q1156" s="7">
        <f>Q1157</f>
        <v>378</v>
      </c>
      <c r="R1156" s="36">
        <f t="shared" si="246"/>
        <v>3599.2999999999997</v>
      </c>
    </row>
    <row r="1157" spans="1:18" ht="33">
      <c r="A1157" s="62" t="str">
        <f ca="1" t="shared" si="247"/>
        <v>Иные закупки товаров, работ и услуг для обеспечения муниципальных нужд</v>
      </c>
      <c r="B1157" s="46" t="s">
        <v>79</v>
      </c>
      <c r="C1157" s="8" t="s">
        <v>224</v>
      </c>
      <c r="D1157" s="8" t="s">
        <v>204</v>
      </c>
      <c r="E1157" s="115">
        <v>240</v>
      </c>
      <c r="F1157" s="7">
        <f>F1158</f>
        <v>2827.7</v>
      </c>
      <c r="G1157" s="7">
        <f>G1158</f>
        <v>0</v>
      </c>
      <c r="H1157" s="36">
        <f t="shared" si="230"/>
        <v>2827.7</v>
      </c>
      <c r="I1157" s="7">
        <f>I1158</f>
        <v>0</v>
      </c>
      <c r="J1157" s="36">
        <f t="shared" si="245"/>
        <v>2827.7</v>
      </c>
      <c r="K1157" s="7">
        <f>K1158</f>
        <v>393.6</v>
      </c>
      <c r="L1157" s="36">
        <f t="shared" si="240"/>
        <v>3221.2999999999997</v>
      </c>
      <c r="M1157" s="7">
        <f>M1158</f>
        <v>0</v>
      </c>
      <c r="N1157" s="36">
        <f t="shared" si="241"/>
        <v>3221.2999999999997</v>
      </c>
      <c r="O1157" s="7">
        <f>O1158</f>
        <v>0</v>
      </c>
      <c r="P1157" s="36">
        <f t="shared" si="237"/>
        <v>3221.2999999999997</v>
      </c>
      <c r="Q1157" s="7">
        <f>Q1158</f>
        <v>378</v>
      </c>
      <c r="R1157" s="36">
        <f t="shared" si="246"/>
        <v>3599.2999999999997</v>
      </c>
    </row>
    <row r="1158" spans="1:18" ht="33">
      <c r="A1158" s="62" t="str">
        <f ca="1" t="shared" si="247"/>
        <v xml:space="preserve">Прочая закупка товаров, работ и услуг для обеспечения муниципальных нужд         </v>
      </c>
      <c r="B1158" s="46" t="s">
        <v>79</v>
      </c>
      <c r="C1158" s="8" t="s">
        <v>224</v>
      </c>
      <c r="D1158" s="8" t="s">
        <v>204</v>
      </c>
      <c r="E1158" s="115">
        <v>244</v>
      </c>
      <c r="F1158" s="7">
        <f>'прил.5'!G1466</f>
        <v>2827.7</v>
      </c>
      <c r="G1158" s="7">
        <f>'прил.5'!H1466</f>
        <v>0</v>
      </c>
      <c r="H1158" s="36">
        <f t="shared" si="230"/>
        <v>2827.7</v>
      </c>
      <c r="I1158" s="7">
        <f>'прил.5'!J1466</f>
        <v>0</v>
      </c>
      <c r="J1158" s="36">
        <f t="shared" si="245"/>
        <v>2827.7</v>
      </c>
      <c r="K1158" s="7">
        <f>'прил.5'!L1466</f>
        <v>393.6</v>
      </c>
      <c r="L1158" s="36">
        <f t="shared" si="240"/>
        <v>3221.2999999999997</v>
      </c>
      <c r="M1158" s="7">
        <f>'прил.5'!N1466</f>
        <v>0</v>
      </c>
      <c r="N1158" s="36">
        <f t="shared" si="241"/>
        <v>3221.2999999999997</v>
      </c>
      <c r="O1158" s="7">
        <f>'прил.5'!P1466</f>
        <v>0</v>
      </c>
      <c r="P1158" s="36">
        <f t="shared" si="237"/>
        <v>3221.2999999999997</v>
      </c>
      <c r="Q1158" s="7">
        <f>'прил.5'!R1466</f>
        <v>378</v>
      </c>
      <c r="R1158" s="36">
        <f t="shared" si="246"/>
        <v>3599.2999999999997</v>
      </c>
    </row>
    <row r="1159" spans="1:18" ht="12.75">
      <c r="A1159" s="62" t="str">
        <f ca="1" t="shared" si="247"/>
        <v>Иные бюджетные ассигнования</v>
      </c>
      <c r="B1159" s="46" t="s">
        <v>79</v>
      </c>
      <c r="C1159" s="8" t="s">
        <v>224</v>
      </c>
      <c r="D1159" s="8" t="s">
        <v>204</v>
      </c>
      <c r="E1159" s="115">
        <v>800</v>
      </c>
      <c r="F1159" s="7">
        <f>F1160</f>
        <v>684.5</v>
      </c>
      <c r="G1159" s="7">
        <f>G1160</f>
        <v>0</v>
      </c>
      <c r="H1159" s="36">
        <f aca="true" t="shared" si="248" ref="H1159:H1236">F1159+G1159</f>
        <v>684.5</v>
      </c>
      <c r="I1159" s="7">
        <f>I1160</f>
        <v>0</v>
      </c>
      <c r="J1159" s="36">
        <f t="shared" si="245"/>
        <v>684.5</v>
      </c>
      <c r="K1159" s="7">
        <f>K1160</f>
        <v>0</v>
      </c>
      <c r="L1159" s="36">
        <f t="shared" si="240"/>
        <v>684.5</v>
      </c>
      <c r="M1159" s="7">
        <f>M1160</f>
        <v>0</v>
      </c>
      <c r="N1159" s="36">
        <f t="shared" si="241"/>
        <v>684.5</v>
      </c>
      <c r="O1159" s="7">
        <f>O1160</f>
        <v>0</v>
      </c>
      <c r="P1159" s="36">
        <f t="shared" si="237"/>
        <v>684.5</v>
      </c>
      <c r="Q1159" s="7">
        <f>Q1160</f>
        <v>0</v>
      </c>
      <c r="R1159" s="36">
        <f t="shared" si="246"/>
        <v>684.5</v>
      </c>
    </row>
    <row r="1160" spans="1:18" ht="12.75">
      <c r="A1160" s="62" t="str">
        <f ca="1" t="shared" si="247"/>
        <v>Уплата налогов, сборов и иных платежей</v>
      </c>
      <c r="B1160" s="46" t="s">
        <v>79</v>
      </c>
      <c r="C1160" s="8" t="s">
        <v>224</v>
      </c>
      <c r="D1160" s="8" t="s">
        <v>204</v>
      </c>
      <c r="E1160" s="115">
        <v>850</v>
      </c>
      <c r="F1160" s="7">
        <f>SUM(F1161:F1162)</f>
        <v>684.5</v>
      </c>
      <c r="G1160" s="7">
        <f>SUM(G1161:G1162)</f>
        <v>0</v>
      </c>
      <c r="H1160" s="36">
        <f t="shared" si="248"/>
        <v>684.5</v>
      </c>
      <c r="I1160" s="7">
        <f>SUM(I1161:I1162)</f>
        <v>0</v>
      </c>
      <c r="J1160" s="36">
        <f t="shared" si="245"/>
        <v>684.5</v>
      </c>
      <c r="K1160" s="7">
        <f>SUM(K1161:K1162)</f>
        <v>0</v>
      </c>
      <c r="L1160" s="36">
        <f t="shared" si="240"/>
        <v>684.5</v>
      </c>
      <c r="M1160" s="7">
        <f>SUM(M1161:M1162)</f>
        <v>0</v>
      </c>
      <c r="N1160" s="36">
        <f t="shared" si="241"/>
        <v>684.5</v>
      </c>
      <c r="O1160" s="7">
        <f>SUM(O1161:O1162)</f>
        <v>0</v>
      </c>
      <c r="P1160" s="36">
        <f t="shared" si="237"/>
        <v>684.5</v>
      </c>
      <c r="Q1160" s="7">
        <f>SUM(Q1161:Q1162)</f>
        <v>0</v>
      </c>
      <c r="R1160" s="36">
        <f t="shared" si="246"/>
        <v>684.5</v>
      </c>
    </row>
    <row r="1161" spans="1:18" ht="12.75">
      <c r="A1161" s="62" t="str">
        <f ca="1" t="shared" si="247"/>
        <v>Уплата налога на имущество организаций и земельного налога</v>
      </c>
      <c r="B1161" s="46" t="s">
        <v>79</v>
      </c>
      <c r="C1161" s="8" t="s">
        <v>224</v>
      </c>
      <c r="D1161" s="8" t="s">
        <v>204</v>
      </c>
      <c r="E1161" s="115">
        <v>851</v>
      </c>
      <c r="F1161" s="7">
        <f>'прил.5'!G1469</f>
        <v>183.1</v>
      </c>
      <c r="G1161" s="7">
        <f>'прил.5'!H1469</f>
        <v>0</v>
      </c>
      <c r="H1161" s="36">
        <f t="shared" si="248"/>
        <v>183.1</v>
      </c>
      <c r="I1161" s="7">
        <f>'прил.5'!J1469</f>
        <v>0</v>
      </c>
      <c r="J1161" s="36">
        <f t="shared" si="245"/>
        <v>183.1</v>
      </c>
      <c r="K1161" s="7">
        <f>'прил.5'!L1469</f>
        <v>0</v>
      </c>
      <c r="L1161" s="36">
        <f t="shared" si="240"/>
        <v>183.1</v>
      </c>
      <c r="M1161" s="7">
        <f>'прил.5'!N1469</f>
        <v>0</v>
      </c>
      <c r="N1161" s="36">
        <f t="shared" si="241"/>
        <v>183.1</v>
      </c>
      <c r="O1161" s="7">
        <f>'прил.5'!P1469</f>
        <v>0</v>
      </c>
      <c r="P1161" s="36">
        <f aca="true" t="shared" si="249" ref="P1161:P1230">N1161+O1161</f>
        <v>183.1</v>
      </c>
      <c r="Q1161" s="7">
        <f>'прил.5'!R1469</f>
        <v>0</v>
      </c>
      <c r="R1161" s="36">
        <f t="shared" si="246"/>
        <v>183.1</v>
      </c>
    </row>
    <row r="1162" spans="1:18" ht="12.75">
      <c r="A1162" s="62" t="str">
        <f ca="1" t="shared" si="247"/>
        <v>Уплата прочих налогов, сборов и иных платежей</v>
      </c>
      <c r="B1162" s="46" t="s">
        <v>79</v>
      </c>
      <c r="C1162" s="8" t="s">
        <v>224</v>
      </c>
      <c r="D1162" s="8" t="s">
        <v>204</v>
      </c>
      <c r="E1162" s="115">
        <v>852</v>
      </c>
      <c r="F1162" s="7">
        <f>'прил.5'!G1470</f>
        <v>501.4</v>
      </c>
      <c r="G1162" s="7">
        <f>'прил.5'!H1470</f>
        <v>0</v>
      </c>
      <c r="H1162" s="36">
        <f t="shared" si="248"/>
        <v>501.4</v>
      </c>
      <c r="I1162" s="7">
        <f>'прил.5'!J1470</f>
        <v>0</v>
      </c>
      <c r="J1162" s="36">
        <f t="shared" si="245"/>
        <v>501.4</v>
      </c>
      <c r="K1162" s="7">
        <f>'прил.5'!L1470</f>
        <v>0</v>
      </c>
      <c r="L1162" s="36">
        <f t="shared" si="240"/>
        <v>501.4</v>
      </c>
      <c r="M1162" s="7">
        <f>'прил.5'!N1470</f>
        <v>0</v>
      </c>
      <c r="N1162" s="36">
        <f t="shared" si="241"/>
        <v>501.4</v>
      </c>
      <c r="O1162" s="7">
        <f>'прил.5'!P1470</f>
        <v>0</v>
      </c>
      <c r="P1162" s="36">
        <f t="shared" si="249"/>
        <v>501.4</v>
      </c>
      <c r="Q1162" s="7">
        <f>'прил.5'!R1470</f>
        <v>0</v>
      </c>
      <c r="R1162" s="36">
        <f t="shared" si="246"/>
        <v>501.4</v>
      </c>
    </row>
    <row r="1163" spans="1:18" ht="43.5" customHeight="1">
      <c r="A1163" s="62" t="str">
        <f ca="1">IF(ISERROR(MATCH(B1163,Код_КЦСР,0)),"",INDIRECT(ADDRESS(MATCH(B1163,Код_КЦСР,0)+1,2,,,"КЦСР")))</f>
        <v>Модернизация региональных систем дошкольного образования за счет субсидии из федерального бюджета</v>
      </c>
      <c r="B1163" s="46" t="s">
        <v>654</v>
      </c>
      <c r="C1163" s="8"/>
      <c r="D1163" s="1"/>
      <c r="E1163" s="122"/>
      <c r="F1163" s="7"/>
      <c r="G1163" s="7"/>
      <c r="H1163" s="36"/>
      <c r="I1163" s="7"/>
      <c r="J1163" s="36"/>
      <c r="K1163" s="7"/>
      <c r="L1163" s="36"/>
      <c r="M1163" s="7"/>
      <c r="N1163" s="36"/>
      <c r="O1163" s="7"/>
      <c r="P1163" s="36"/>
      <c r="Q1163" s="7">
        <f>Q1164</f>
        <v>215795.7</v>
      </c>
      <c r="R1163" s="36">
        <f t="shared" si="246"/>
        <v>215795.7</v>
      </c>
    </row>
    <row r="1164" spans="1:18" ht="12.75">
      <c r="A1164" s="62" t="str">
        <f ca="1">IF(ISERROR(MATCH(C1164,Код_Раздел,0)),"",INDIRECT(ADDRESS(MATCH(C1164,Код_Раздел,0)+1,2,,,"Раздел")))</f>
        <v>Образование</v>
      </c>
      <c r="B1164" s="46" t="s">
        <v>654</v>
      </c>
      <c r="C1164" s="8" t="s">
        <v>203</v>
      </c>
      <c r="D1164" s="1"/>
      <c r="E1164" s="122"/>
      <c r="F1164" s="7"/>
      <c r="G1164" s="7"/>
      <c r="H1164" s="36"/>
      <c r="I1164" s="7"/>
      <c r="J1164" s="36"/>
      <c r="K1164" s="7"/>
      <c r="L1164" s="36"/>
      <c r="M1164" s="7"/>
      <c r="N1164" s="36"/>
      <c r="O1164" s="7"/>
      <c r="P1164" s="36"/>
      <c r="Q1164" s="7">
        <f>Q1165</f>
        <v>215795.7</v>
      </c>
      <c r="R1164" s="36">
        <f t="shared" si="246"/>
        <v>215795.7</v>
      </c>
    </row>
    <row r="1165" spans="1:18" ht="12.75">
      <c r="A1165" s="12" t="s">
        <v>259</v>
      </c>
      <c r="B1165" s="46" t="s">
        <v>654</v>
      </c>
      <c r="C1165" s="8" t="s">
        <v>203</v>
      </c>
      <c r="D1165" s="8" t="s">
        <v>227</v>
      </c>
      <c r="E1165" s="122"/>
      <c r="F1165" s="7"/>
      <c r="G1165" s="7"/>
      <c r="H1165" s="36"/>
      <c r="I1165" s="7"/>
      <c r="J1165" s="36"/>
      <c r="K1165" s="7"/>
      <c r="L1165" s="36"/>
      <c r="M1165" s="7"/>
      <c r="N1165" s="36"/>
      <c r="O1165" s="7"/>
      <c r="P1165" s="36"/>
      <c r="Q1165" s="7">
        <f>Q1166</f>
        <v>215795.7</v>
      </c>
      <c r="R1165" s="36">
        <f t="shared" si="246"/>
        <v>215795.7</v>
      </c>
    </row>
    <row r="1166" spans="1:18" ht="33">
      <c r="A1166" s="62" t="str">
        <f aca="true" t="shared" si="250" ref="A1166:A1168">IF(ISERROR(MATCH(E1166,Код_КВР,0)),"",INDIRECT(ADDRESS(MATCH(E1166,Код_КВР,0)+1,2,,,"КВР")))</f>
        <v>Капитальные вложения в объекты недвижимого имущества муниципальной собственности</v>
      </c>
      <c r="B1166" s="46" t="s">
        <v>654</v>
      </c>
      <c r="C1166" s="8" t="s">
        <v>203</v>
      </c>
      <c r="D1166" s="8" t="s">
        <v>227</v>
      </c>
      <c r="E1166" s="122">
        <v>400</v>
      </c>
      <c r="F1166" s="7"/>
      <c r="G1166" s="7"/>
      <c r="H1166" s="36"/>
      <c r="I1166" s="7"/>
      <c r="J1166" s="36"/>
      <c r="K1166" s="7"/>
      <c r="L1166" s="36"/>
      <c r="M1166" s="7"/>
      <c r="N1166" s="36"/>
      <c r="O1166" s="7"/>
      <c r="P1166" s="36"/>
      <c r="Q1166" s="7">
        <f>Q1167</f>
        <v>215795.7</v>
      </c>
      <c r="R1166" s="36">
        <f t="shared" si="246"/>
        <v>215795.7</v>
      </c>
    </row>
    <row r="1167" spans="1:18" ht="12.75">
      <c r="A1167" s="62" t="str">
        <f ca="1" t="shared" si="250"/>
        <v>Бюджетные инвестиции</v>
      </c>
      <c r="B1167" s="46" t="s">
        <v>654</v>
      </c>
      <c r="C1167" s="8" t="s">
        <v>203</v>
      </c>
      <c r="D1167" s="8" t="s">
        <v>227</v>
      </c>
      <c r="E1167" s="122">
        <v>410</v>
      </c>
      <c r="F1167" s="7"/>
      <c r="G1167" s="7"/>
      <c r="H1167" s="36"/>
      <c r="I1167" s="7"/>
      <c r="J1167" s="36"/>
      <c r="K1167" s="7"/>
      <c r="L1167" s="36"/>
      <c r="M1167" s="7"/>
      <c r="N1167" s="36"/>
      <c r="O1167" s="7"/>
      <c r="P1167" s="36"/>
      <c r="Q1167" s="7">
        <f>'прил.5'!R1560</f>
        <v>215795.7</v>
      </c>
      <c r="R1167" s="36">
        <f t="shared" si="246"/>
        <v>215795.7</v>
      </c>
    </row>
    <row r="1168" spans="1:18" ht="40.5" customHeight="1">
      <c r="A1168" s="62" t="str">
        <f ca="1" t="shared" si="250"/>
        <v>Бюджетные инвестиции в объекты капитального строительства муниципальной собственности</v>
      </c>
      <c r="B1168" s="46" t="s">
        <v>654</v>
      </c>
      <c r="C1168" s="8" t="s">
        <v>203</v>
      </c>
      <c r="D1168" s="8" t="s">
        <v>227</v>
      </c>
      <c r="E1168" s="122">
        <v>414</v>
      </c>
      <c r="F1168" s="7"/>
      <c r="G1168" s="7"/>
      <c r="H1168" s="36"/>
      <c r="I1168" s="7"/>
      <c r="J1168" s="36"/>
      <c r="K1168" s="7"/>
      <c r="L1168" s="36"/>
      <c r="M1168" s="7"/>
      <c r="N1168" s="36"/>
      <c r="O1168" s="7"/>
      <c r="P1168" s="36"/>
      <c r="Q1168" s="7">
        <f>'прил.5'!R1561</f>
        <v>215795.7</v>
      </c>
      <c r="R1168" s="36">
        <f t="shared" si="246"/>
        <v>215795.7</v>
      </c>
    </row>
    <row r="1169" spans="1:18" ht="49.5">
      <c r="A1169" s="62" t="str">
        <f ca="1">IF(ISERROR(MATCH(B1169,Код_КЦСР,0)),"",INDIRECT(ADDRESS(MATCH(B1169,Код_КЦСР,0)+1,2,,,"КЦСР")))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169" s="46" t="s">
        <v>81</v>
      </c>
      <c r="C1169" s="8"/>
      <c r="D1169" s="1"/>
      <c r="E1169" s="115"/>
      <c r="F1169" s="7">
        <f>F1170+F1220</f>
        <v>54441.6</v>
      </c>
      <c r="G1169" s="7">
        <f>G1170+G1220</f>
        <v>0</v>
      </c>
      <c r="H1169" s="36">
        <f t="shared" si="248"/>
        <v>54441.6</v>
      </c>
      <c r="I1169" s="7">
        <f>I1170+I1220</f>
        <v>7.5</v>
      </c>
      <c r="J1169" s="36">
        <f t="shared" si="245"/>
        <v>54449.1</v>
      </c>
      <c r="K1169" s="7">
        <f>K1170+K1220</f>
        <v>-3424</v>
      </c>
      <c r="L1169" s="36">
        <f t="shared" si="240"/>
        <v>51025.1</v>
      </c>
      <c r="M1169" s="7">
        <f>M1170+M1220</f>
        <v>0</v>
      </c>
      <c r="N1169" s="36">
        <f t="shared" si="241"/>
        <v>51025.1</v>
      </c>
      <c r="O1169" s="7">
        <f>O1170+O1220</f>
        <v>0</v>
      </c>
      <c r="P1169" s="36">
        <f t="shared" si="249"/>
        <v>51025.1</v>
      </c>
      <c r="Q1169" s="7">
        <f>Q1170+Q1220</f>
        <v>80.1</v>
      </c>
      <c r="R1169" s="36">
        <f t="shared" si="246"/>
        <v>51105.2</v>
      </c>
    </row>
    <row r="1170" spans="1:18" ht="33">
      <c r="A1170" s="62" t="str">
        <f ca="1">IF(ISERROR(MATCH(B1170,Код_КЦСР,0)),"",INDIRECT(ADDRESS(MATCH(B1170,Код_КЦСР,0)+1,2,,,"КЦСР")))</f>
        <v>Обеспечение пожарной безопасности муниципальных учреждений города</v>
      </c>
      <c r="B1170" s="46" t="s">
        <v>83</v>
      </c>
      <c r="C1170" s="8"/>
      <c r="D1170" s="1"/>
      <c r="E1170" s="115"/>
      <c r="F1170" s="7">
        <f>F1171+F1197+F1212</f>
        <v>5000</v>
      </c>
      <c r="G1170" s="7">
        <f>G1171+G1197+G1212</f>
        <v>0</v>
      </c>
      <c r="H1170" s="36">
        <f t="shared" si="248"/>
        <v>5000</v>
      </c>
      <c r="I1170" s="7">
        <f>I1171+I1197+I1212</f>
        <v>7.5</v>
      </c>
      <c r="J1170" s="36">
        <f t="shared" si="245"/>
        <v>5007.5</v>
      </c>
      <c r="K1170" s="7">
        <f>K1171+K1197+K1212</f>
        <v>0</v>
      </c>
      <c r="L1170" s="36">
        <f t="shared" si="240"/>
        <v>5007.5</v>
      </c>
      <c r="M1170" s="7">
        <f>M1171+M1197+M1212</f>
        <v>0</v>
      </c>
      <c r="N1170" s="36">
        <f t="shared" si="241"/>
        <v>5007.5</v>
      </c>
      <c r="O1170" s="7">
        <f>O1171+O1197+O1212</f>
        <v>0</v>
      </c>
      <c r="P1170" s="36">
        <f t="shared" si="249"/>
        <v>5007.5</v>
      </c>
      <c r="Q1170" s="7">
        <f>Q1171+Q1197+Q1212</f>
        <v>0</v>
      </c>
      <c r="R1170" s="36">
        <f t="shared" si="246"/>
        <v>5007.5</v>
      </c>
    </row>
    <row r="1171" spans="1:18" ht="49.5">
      <c r="A1171" s="62" t="str">
        <f ca="1">IF(ISERROR(MATCH(B1171,Код_КЦСР,0)),"",INDIRECT(ADDRESS(MATCH(B1171,Код_КЦСР,0)+1,2,,,"КЦСР")))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171" s="46" t="s">
        <v>85</v>
      </c>
      <c r="C1171" s="8"/>
      <c r="D1171" s="1"/>
      <c r="E1171" s="115"/>
      <c r="F1171" s="7">
        <f>F1172+F1177+F1187</f>
        <v>1655</v>
      </c>
      <c r="G1171" s="7">
        <f>G1172+G1177+G1187</f>
        <v>0</v>
      </c>
      <c r="H1171" s="36">
        <f t="shared" si="248"/>
        <v>1655</v>
      </c>
      <c r="I1171" s="7">
        <f>I1172+I1177+I1187+I1192</f>
        <v>7.5</v>
      </c>
      <c r="J1171" s="36">
        <f t="shared" si="245"/>
        <v>1662.5</v>
      </c>
      <c r="K1171" s="7">
        <f>K1172+K1177+K1187+K1192</f>
        <v>0</v>
      </c>
      <c r="L1171" s="36">
        <f t="shared" si="240"/>
        <v>1662.5</v>
      </c>
      <c r="M1171" s="7">
        <f>M1172+M1177+M1187+M1192</f>
        <v>0</v>
      </c>
      <c r="N1171" s="36">
        <f t="shared" si="241"/>
        <v>1662.5</v>
      </c>
      <c r="O1171" s="7">
        <f>O1172+O1177+O1187+O1192</f>
        <v>0</v>
      </c>
      <c r="P1171" s="36">
        <f t="shared" si="249"/>
        <v>1662.5</v>
      </c>
      <c r="Q1171" s="7">
        <f>Q1172+Q1177+Q1187+Q1192</f>
        <v>0</v>
      </c>
      <c r="R1171" s="36">
        <f t="shared" si="246"/>
        <v>1662.5</v>
      </c>
    </row>
    <row r="1172" spans="1:18" ht="12.75">
      <c r="A1172" s="62" t="str">
        <f ca="1">IF(ISERROR(MATCH(C1172,Код_Раздел,0)),"",INDIRECT(ADDRESS(MATCH(C1172,Код_Раздел,0)+1,2,,,"Раздел")))</f>
        <v>Национальная безопасность и правоохранительная  деятельность</v>
      </c>
      <c r="B1172" s="46" t="s">
        <v>85</v>
      </c>
      <c r="C1172" s="8" t="s">
        <v>223</v>
      </c>
      <c r="D1172" s="1"/>
      <c r="E1172" s="115"/>
      <c r="F1172" s="7">
        <f aca="true" t="shared" si="251" ref="F1172:Q1175">F1173</f>
        <v>215</v>
      </c>
      <c r="G1172" s="7">
        <f t="shared" si="251"/>
        <v>0</v>
      </c>
      <c r="H1172" s="36">
        <f t="shared" si="248"/>
        <v>215</v>
      </c>
      <c r="I1172" s="7">
        <f t="shared" si="251"/>
        <v>0</v>
      </c>
      <c r="J1172" s="36">
        <f t="shared" si="245"/>
        <v>215</v>
      </c>
      <c r="K1172" s="7">
        <f t="shared" si="251"/>
        <v>0</v>
      </c>
      <c r="L1172" s="36">
        <f t="shared" si="240"/>
        <v>215</v>
      </c>
      <c r="M1172" s="7">
        <f t="shared" si="251"/>
        <v>0</v>
      </c>
      <c r="N1172" s="36">
        <f t="shared" si="241"/>
        <v>215</v>
      </c>
      <c r="O1172" s="7">
        <f t="shared" si="251"/>
        <v>0</v>
      </c>
      <c r="P1172" s="36">
        <f t="shared" si="249"/>
        <v>215</v>
      </c>
      <c r="Q1172" s="7">
        <f t="shared" si="251"/>
        <v>0</v>
      </c>
      <c r="R1172" s="36">
        <f t="shared" si="246"/>
        <v>215</v>
      </c>
    </row>
    <row r="1173" spans="1:18" ht="33">
      <c r="A1173" s="12" t="s">
        <v>270</v>
      </c>
      <c r="B1173" s="46" t="s">
        <v>85</v>
      </c>
      <c r="C1173" s="8" t="s">
        <v>223</v>
      </c>
      <c r="D1173" s="1" t="s">
        <v>227</v>
      </c>
      <c r="E1173" s="115"/>
      <c r="F1173" s="7">
        <f t="shared" si="251"/>
        <v>215</v>
      </c>
      <c r="G1173" s="7">
        <f t="shared" si="251"/>
        <v>0</v>
      </c>
      <c r="H1173" s="36">
        <f t="shared" si="248"/>
        <v>215</v>
      </c>
      <c r="I1173" s="7">
        <f t="shared" si="251"/>
        <v>0</v>
      </c>
      <c r="J1173" s="36">
        <f t="shared" si="245"/>
        <v>215</v>
      </c>
      <c r="K1173" s="7">
        <f t="shared" si="251"/>
        <v>0</v>
      </c>
      <c r="L1173" s="36">
        <f t="shared" si="240"/>
        <v>215</v>
      </c>
      <c r="M1173" s="7">
        <f t="shared" si="251"/>
        <v>0</v>
      </c>
      <c r="N1173" s="36">
        <f t="shared" si="241"/>
        <v>215</v>
      </c>
      <c r="O1173" s="7">
        <f t="shared" si="251"/>
        <v>0</v>
      </c>
      <c r="P1173" s="36">
        <f t="shared" si="249"/>
        <v>215</v>
      </c>
      <c r="Q1173" s="7">
        <f t="shared" si="251"/>
        <v>0</v>
      </c>
      <c r="R1173" s="36">
        <f t="shared" si="246"/>
        <v>215</v>
      </c>
    </row>
    <row r="1174" spans="1:18" ht="18.75" customHeight="1">
      <c r="A1174" s="62" t="str">
        <f ca="1">IF(ISERROR(MATCH(E1174,Код_КВР,0)),"",INDIRECT(ADDRESS(MATCH(E1174,Код_КВР,0)+1,2,,,"КВР")))</f>
        <v>Закупка товаров, работ и услуг для муниципальных нужд</v>
      </c>
      <c r="B1174" s="46" t="s">
        <v>85</v>
      </c>
      <c r="C1174" s="8" t="s">
        <v>223</v>
      </c>
      <c r="D1174" s="1" t="s">
        <v>227</v>
      </c>
      <c r="E1174" s="115">
        <v>200</v>
      </c>
      <c r="F1174" s="7">
        <f t="shared" si="251"/>
        <v>215</v>
      </c>
      <c r="G1174" s="7">
        <f t="shared" si="251"/>
        <v>0</v>
      </c>
      <c r="H1174" s="36">
        <f t="shared" si="248"/>
        <v>215</v>
      </c>
      <c r="I1174" s="7">
        <f t="shared" si="251"/>
        <v>0</v>
      </c>
      <c r="J1174" s="36">
        <f t="shared" si="245"/>
        <v>215</v>
      </c>
      <c r="K1174" s="7">
        <f t="shared" si="251"/>
        <v>0</v>
      </c>
      <c r="L1174" s="36">
        <f t="shared" si="240"/>
        <v>215</v>
      </c>
      <c r="M1174" s="7">
        <f t="shared" si="251"/>
        <v>0</v>
      </c>
      <c r="N1174" s="36">
        <f t="shared" si="241"/>
        <v>215</v>
      </c>
      <c r="O1174" s="7">
        <f t="shared" si="251"/>
        <v>0</v>
      </c>
      <c r="P1174" s="36">
        <f t="shared" si="249"/>
        <v>215</v>
      </c>
      <c r="Q1174" s="7">
        <f t="shared" si="251"/>
        <v>0</v>
      </c>
      <c r="R1174" s="36">
        <f t="shared" si="246"/>
        <v>215</v>
      </c>
    </row>
    <row r="1175" spans="1:18" ht="33">
      <c r="A1175" s="62" t="str">
        <f ca="1">IF(ISERROR(MATCH(E1175,Код_КВР,0)),"",INDIRECT(ADDRESS(MATCH(E1175,Код_КВР,0)+1,2,,,"КВР")))</f>
        <v>Иные закупки товаров, работ и услуг для обеспечения муниципальных нужд</v>
      </c>
      <c r="B1175" s="46" t="s">
        <v>85</v>
      </c>
      <c r="C1175" s="8" t="s">
        <v>223</v>
      </c>
      <c r="D1175" s="1" t="s">
        <v>227</v>
      </c>
      <c r="E1175" s="115">
        <v>240</v>
      </c>
      <c r="F1175" s="7">
        <f t="shared" si="251"/>
        <v>215</v>
      </c>
      <c r="G1175" s="7">
        <f t="shared" si="251"/>
        <v>0</v>
      </c>
      <c r="H1175" s="36">
        <f t="shared" si="248"/>
        <v>215</v>
      </c>
      <c r="I1175" s="7">
        <f t="shared" si="251"/>
        <v>0</v>
      </c>
      <c r="J1175" s="36">
        <f t="shared" si="245"/>
        <v>215</v>
      </c>
      <c r="K1175" s="7">
        <f t="shared" si="251"/>
        <v>0</v>
      </c>
      <c r="L1175" s="36">
        <f t="shared" si="240"/>
        <v>215</v>
      </c>
      <c r="M1175" s="7">
        <f t="shared" si="251"/>
        <v>0</v>
      </c>
      <c r="N1175" s="36">
        <f t="shared" si="241"/>
        <v>215</v>
      </c>
      <c r="O1175" s="7">
        <f t="shared" si="251"/>
        <v>0</v>
      </c>
      <c r="P1175" s="36">
        <f t="shared" si="249"/>
        <v>215</v>
      </c>
      <c r="Q1175" s="7">
        <f t="shared" si="251"/>
        <v>0</v>
      </c>
      <c r="R1175" s="36">
        <f t="shared" si="246"/>
        <v>215</v>
      </c>
    </row>
    <row r="1176" spans="1:18" ht="33">
      <c r="A1176" s="62" t="str">
        <f ca="1">IF(ISERROR(MATCH(E1176,Код_КВР,0)),"",INDIRECT(ADDRESS(MATCH(E1176,Код_КВР,0)+1,2,,,"КВР")))</f>
        <v xml:space="preserve">Прочая закупка товаров, работ и услуг для обеспечения муниципальных нужд         </v>
      </c>
      <c r="B1176" s="46" t="s">
        <v>85</v>
      </c>
      <c r="C1176" s="8" t="s">
        <v>223</v>
      </c>
      <c r="D1176" s="1" t="s">
        <v>227</v>
      </c>
      <c r="E1176" s="115">
        <v>244</v>
      </c>
      <c r="F1176" s="7">
        <f>'прил.5'!G184</f>
        <v>215</v>
      </c>
      <c r="G1176" s="7">
        <f>'прил.5'!H184</f>
        <v>0</v>
      </c>
      <c r="H1176" s="36">
        <f t="shared" si="248"/>
        <v>215</v>
      </c>
      <c r="I1176" s="7">
        <f>'прил.5'!J184</f>
        <v>0</v>
      </c>
      <c r="J1176" s="36">
        <f t="shared" si="245"/>
        <v>215</v>
      </c>
      <c r="K1176" s="7">
        <f>'прил.5'!L184</f>
        <v>0</v>
      </c>
      <c r="L1176" s="36">
        <f t="shared" si="240"/>
        <v>215</v>
      </c>
      <c r="M1176" s="7">
        <f>'прил.5'!N184</f>
        <v>0</v>
      </c>
      <c r="N1176" s="36">
        <f t="shared" si="241"/>
        <v>215</v>
      </c>
      <c r="O1176" s="7">
        <f>'прил.5'!P184</f>
        <v>0</v>
      </c>
      <c r="P1176" s="36">
        <f t="shared" si="249"/>
        <v>215</v>
      </c>
      <c r="Q1176" s="7">
        <f>'прил.5'!R184</f>
        <v>0</v>
      </c>
      <c r="R1176" s="36">
        <f t="shared" si="246"/>
        <v>215</v>
      </c>
    </row>
    <row r="1177" spans="1:18" ht="12.75">
      <c r="A1177" s="62" t="str">
        <f ca="1">IF(ISERROR(MATCH(C1177,Код_Раздел,0)),"",INDIRECT(ADDRESS(MATCH(C1177,Код_Раздел,0)+1,2,,,"Раздел")))</f>
        <v>Образование</v>
      </c>
      <c r="B1177" s="46" t="s">
        <v>85</v>
      </c>
      <c r="C1177" s="8" t="s">
        <v>203</v>
      </c>
      <c r="D1177" s="1"/>
      <c r="E1177" s="115"/>
      <c r="F1177" s="7">
        <f>F1178</f>
        <v>849</v>
      </c>
      <c r="G1177" s="7">
        <f>G1178</f>
        <v>0</v>
      </c>
      <c r="H1177" s="36">
        <f t="shared" si="248"/>
        <v>849</v>
      </c>
      <c r="I1177" s="7">
        <f>I1178</f>
        <v>0</v>
      </c>
      <c r="J1177" s="36">
        <f t="shared" si="245"/>
        <v>849</v>
      </c>
      <c r="K1177" s="7">
        <f>K1178</f>
        <v>0</v>
      </c>
      <c r="L1177" s="36">
        <f t="shared" si="240"/>
        <v>849</v>
      </c>
      <c r="M1177" s="7">
        <f>M1178</f>
        <v>0</v>
      </c>
      <c r="N1177" s="36">
        <f t="shared" si="241"/>
        <v>849</v>
      </c>
      <c r="O1177" s="7">
        <f>O1178</f>
        <v>0</v>
      </c>
      <c r="P1177" s="36">
        <f t="shared" si="249"/>
        <v>849</v>
      </c>
      <c r="Q1177" s="7">
        <f>Q1178</f>
        <v>0</v>
      </c>
      <c r="R1177" s="36">
        <f t="shared" si="246"/>
        <v>849</v>
      </c>
    </row>
    <row r="1178" spans="1:18" ht="12.75">
      <c r="A1178" s="12" t="s">
        <v>259</v>
      </c>
      <c r="B1178" s="46" t="s">
        <v>85</v>
      </c>
      <c r="C1178" s="8" t="s">
        <v>203</v>
      </c>
      <c r="D1178" s="1" t="s">
        <v>227</v>
      </c>
      <c r="E1178" s="115"/>
      <c r="F1178" s="7">
        <f>F1179+F1182</f>
        <v>849</v>
      </c>
      <c r="G1178" s="7">
        <f>G1179+G1182</f>
        <v>0</v>
      </c>
      <c r="H1178" s="36">
        <f t="shared" si="248"/>
        <v>849</v>
      </c>
      <c r="I1178" s="7">
        <f>I1179+I1182</f>
        <v>0</v>
      </c>
      <c r="J1178" s="36">
        <f t="shared" si="245"/>
        <v>849</v>
      </c>
      <c r="K1178" s="7">
        <f>K1179+K1182</f>
        <v>0</v>
      </c>
      <c r="L1178" s="36">
        <f t="shared" si="240"/>
        <v>849</v>
      </c>
      <c r="M1178" s="7">
        <f>M1179+M1182</f>
        <v>0</v>
      </c>
      <c r="N1178" s="36">
        <f t="shared" si="241"/>
        <v>849</v>
      </c>
      <c r="O1178" s="7">
        <f>O1179+O1182</f>
        <v>0</v>
      </c>
      <c r="P1178" s="36">
        <f t="shared" si="249"/>
        <v>849</v>
      </c>
      <c r="Q1178" s="7">
        <f>Q1179+Q1182</f>
        <v>0</v>
      </c>
      <c r="R1178" s="36">
        <f t="shared" si="246"/>
        <v>849</v>
      </c>
    </row>
    <row r="1179" spans="1:18" ht="12.75" hidden="1">
      <c r="A1179" s="62" t="str">
        <f aca="true" t="shared" si="252" ref="A1179:A1186">IF(ISERROR(MATCH(E1179,Код_КВР,0)),"",INDIRECT(ADDRESS(MATCH(E1179,Код_КВР,0)+1,2,,,"КВР")))</f>
        <v>Закупка товаров, работ и услуг для муниципальных нужд</v>
      </c>
      <c r="B1179" s="46" t="s">
        <v>85</v>
      </c>
      <c r="C1179" s="8" t="s">
        <v>203</v>
      </c>
      <c r="D1179" s="1" t="s">
        <v>227</v>
      </c>
      <c r="E1179" s="115">
        <v>200</v>
      </c>
      <c r="F1179" s="7">
        <f>F1180</f>
        <v>0</v>
      </c>
      <c r="G1179" s="7">
        <f>G1180</f>
        <v>0</v>
      </c>
      <c r="H1179" s="36">
        <f t="shared" si="248"/>
        <v>0</v>
      </c>
      <c r="I1179" s="7">
        <f>I1180</f>
        <v>0</v>
      </c>
      <c r="J1179" s="36">
        <f t="shared" si="245"/>
        <v>0</v>
      </c>
      <c r="K1179" s="7">
        <f>K1180</f>
        <v>0</v>
      </c>
      <c r="L1179" s="36">
        <f t="shared" si="240"/>
        <v>0</v>
      </c>
      <c r="M1179" s="7">
        <f>M1180</f>
        <v>0</v>
      </c>
      <c r="N1179" s="36">
        <f t="shared" si="241"/>
        <v>0</v>
      </c>
      <c r="O1179" s="7">
        <f>O1180</f>
        <v>0</v>
      </c>
      <c r="P1179" s="36">
        <f t="shared" si="249"/>
        <v>0</v>
      </c>
      <c r="Q1179" s="7">
        <f>Q1180</f>
        <v>0</v>
      </c>
      <c r="R1179" s="36">
        <f t="shared" si="246"/>
        <v>0</v>
      </c>
    </row>
    <row r="1180" spans="1:18" ht="33" hidden="1">
      <c r="A1180" s="62" t="str">
        <f ca="1" t="shared" si="252"/>
        <v>Иные закупки товаров, работ и услуг для обеспечения муниципальных нужд</v>
      </c>
      <c r="B1180" s="46" t="s">
        <v>85</v>
      </c>
      <c r="C1180" s="8" t="s">
        <v>203</v>
      </c>
      <c r="D1180" s="1" t="s">
        <v>227</v>
      </c>
      <c r="E1180" s="115">
        <v>240</v>
      </c>
      <c r="F1180" s="7">
        <f>F1181</f>
        <v>0</v>
      </c>
      <c r="G1180" s="7">
        <f>G1181</f>
        <v>0</v>
      </c>
      <c r="H1180" s="36">
        <f t="shared" si="248"/>
        <v>0</v>
      </c>
      <c r="I1180" s="7">
        <f>I1181</f>
        <v>0</v>
      </c>
      <c r="J1180" s="36">
        <f t="shared" si="245"/>
        <v>0</v>
      </c>
      <c r="K1180" s="7">
        <f>K1181</f>
        <v>0</v>
      </c>
      <c r="L1180" s="36">
        <f t="shared" si="240"/>
        <v>0</v>
      </c>
      <c r="M1180" s="7">
        <f>M1181</f>
        <v>0</v>
      </c>
      <c r="N1180" s="36">
        <f t="shared" si="241"/>
        <v>0</v>
      </c>
      <c r="O1180" s="7">
        <f>O1181</f>
        <v>0</v>
      </c>
      <c r="P1180" s="36">
        <f t="shared" si="249"/>
        <v>0</v>
      </c>
      <c r="Q1180" s="7">
        <f>Q1181</f>
        <v>0</v>
      </c>
      <c r="R1180" s="36">
        <f t="shared" si="246"/>
        <v>0</v>
      </c>
    </row>
    <row r="1181" spans="1:18" ht="33" hidden="1">
      <c r="A1181" s="62" t="str">
        <f ca="1" t="shared" si="252"/>
        <v xml:space="preserve">Прочая закупка товаров, работ и услуг для обеспечения муниципальных нужд         </v>
      </c>
      <c r="B1181" s="46" t="s">
        <v>85</v>
      </c>
      <c r="C1181" s="8" t="s">
        <v>203</v>
      </c>
      <c r="D1181" s="1" t="s">
        <v>227</v>
      </c>
      <c r="E1181" s="115">
        <v>244</v>
      </c>
      <c r="F1181" s="7">
        <f>'прил.5'!G772</f>
        <v>0</v>
      </c>
      <c r="G1181" s="7">
        <f>'прил.5'!H772</f>
        <v>0</v>
      </c>
      <c r="H1181" s="36">
        <f t="shared" si="248"/>
        <v>0</v>
      </c>
      <c r="I1181" s="7">
        <f>'прил.5'!J772</f>
        <v>0</v>
      </c>
      <c r="J1181" s="36">
        <f t="shared" si="245"/>
        <v>0</v>
      </c>
      <c r="K1181" s="7">
        <f>'прил.5'!L772</f>
        <v>0</v>
      </c>
      <c r="L1181" s="36">
        <f t="shared" si="240"/>
        <v>0</v>
      </c>
      <c r="M1181" s="7">
        <f>'прил.5'!N772</f>
        <v>0</v>
      </c>
      <c r="N1181" s="36">
        <f t="shared" si="241"/>
        <v>0</v>
      </c>
      <c r="O1181" s="7">
        <f>'прил.5'!P772</f>
        <v>0</v>
      </c>
      <c r="P1181" s="36">
        <f t="shared" si="249"/>
        <v>0</v>
      </c>
      <c r="Q1181" s="7">
        <f>'прил.5'!R772</f>
        <v>0</v>
      </c>
      <c r="R1181" s="36">
        <f t="shared" si="246"/>
        <v>0</v>
      </c>
    </row>
    <row r="1182" spans="1:18" ht="34.7" customHeight="1">
      <c r="A1182" s="62" t="str">
        <f ca="1" t="shared" si="252"/>
        <v>Предоставление субсидий бюджетным, автономным учреждениям и иным некоммерческим организациям</v>
      </c>
      <c r="B1182" s="46" t="s">
        <v>85</v>
      </c>
      <c r="C1182" s="8" t="s">
        <v>203</v>
      </c>
      <c r="D1182" s="1" t="s">
        <v>227</v>
      </c>
      <c r="E1182" s="115">
        <v>600</v>
      </c>
      <c r="F1182" s="7">
        <f>F1183+F1185</f>
        <v>849</v>
      </c>
      <c r="G1182" s="7">
        <f>G1183+G1185</f>
        <v>0</v>
      </c>
      <c r="H1182" s="36">
        <f t="shared" si="248"/>
        <v>849</v>
      </c>
      <c r="I1182" s="7">
        <f>I1183+I1185</f>
        <v>0</v>
      </c>
      <c r="J1182" s="36">
        <f t="shared" si="245"/>
        <v>849</v>
      </c>
      <c r="K1182" s="7">
        <f>K1183+K1185</f>
        <v>0</v>
      </c>
      <c r="L1182" s="36">
        <f t="shared" si="240"/>
        <v>849</v>
      </c>
      <c r="M1182" s="7">
        <f>M1183+M1185</f>
        <v>0</v>
      </c>
      <c r="N1182" s="36">
        <f t="shared" si="241"/>
        <v>849</v>
      </c>
      <c r="O1182" s="7">
        <f>O1183+O1185</f>
        <v>0</v>
      </c>
      <c r="P1182" s="36">
        <f t="shared" si="249"/>
        <v>849</v>
      </c>
      <c r="Q1182" s="7">
        <f>Q1183+Q1185</f>
        <v>0</v>
      </c>
      <c r="R1182" s="36">
        <f t="shared" si="246"/>
        <v>849</v>
      </c>
    </row>
    <row r="1183" spans="1:18" ht="12.75">
      <c r="A1183" s="62" t="str">
        <f ca="1" t="shared" si="252"/>
        <v>Субсидии бюджетным учреждениям</v>
      </c>
      <c r="B1183" s="46" t="s">
        <v>85</v>
      </c>
      <c r="C1183" s="8" t="s">
        <v>203</v>
      </c>
      <c r="D1183" s="1" t="s">
        <v>227</v>
      </c>
      <c r="E1183" s="115">
        <v>610</v>
      </c>
      <c r="F1183" s="7">
        <f>F1184</f>
        <v>849</v>
      </c>
      <c r="G1183" s="7">
        <f>G1184</f>
        <v>0</v>
      </c>
      <c r="H1183" s="36">
        <f t="shared" si="248"/>
        <v>849</v>
      </c>
      <c r="I1183" s="7">
        <f>I1184</f>
        <v>0</v>
      </c>
      <c r="J1183" s="36">
        <f t="shared" si="245"/>
        <v>849</v>
      </c>
      <c r="K1183" s="7">
        <f>K1184</f>
        <v>0</v>
      </c>
      <c r="L1183" s="36">
        <f t="shared" si="240"/>
        <v>849</v>
      </c>
      <c r="M1183" s="7">
        <f>M1184</f>
        <v>0</v>
      </c>
      <c r="N1183" s="36">
        <f t="shared" si="241"/>
        <v>849</v>
      </c>
      <c r="O1183" s="7">
        <f>O1184</f>
        <v>0</v>
      </c>
      <c r="P1183" s="36">
        <f t="shared" si="249"/>
        <v>849</v>
      </c>
      <c r="Q1183" s="7">
        <f>Q1184</f>
        <v>0</v>
      </c>
      <c r="R1183" s="36">
        <f t="shared" si="246"/>
        <v>849</v>
      </c>
    </row>
    <row r="1184" spans="1:18" ht="12.75">
      <c r="A1184" s="62" t="str">
        <f ca="1" t="shared" si="252"/>
        <v>Субсидии бюджетным учреждениям на иные цели</v>
      </c>
      <c r="B1184" s="46" t="s">
        <v>85</v>
      </c>
      <c r="C1184" s="8" t="s">
        <v>203</v>
      </c>
      <c r="D1184" s="1" t="s">
        <v>227</v>
      </c>
      <c r="E1184" s="115">
        <v>612</v>
      </c>
      <c r="F1184" s="7">
        <f>'прил.5'!G775+'прил.5'!G945+'прил.5'!G1164</f>
        <v>849</v>
      </c>
      <c r="G1184" s="7">
        <f>'прил.5'!H775+'прил.5'!H945+'прил.5'!H1164</f>
        <v>0</v>
      </c>
      <c r="H1184" s="36">
        <f t="shared" si="248"/>
        <v>849</v>
      </c>
      <c r="I1184" s="7">
        <f>'прил.5'!J775+'прил.5'!J945+'прил.5'!J1164</f>
        <v>0</v>
      </c>
      <c r="J1184" s="36">
        <f t="shared" si="245"/>
        <v>849</v>
      </c>
      <c r="K1184" s="7">
        <f>'прил.5'!L775+'прил.5'!L945+'прил.5'!L1164</f>
        <v>0</v>
      </c>
      <c r="L1184" s="36">
        <f t="shared" si="240"/>
        <v>849</v>
      </c>
      <c r="M1184" s="7">
        <f>'прил.5'!N775+'прил.5'!N945+'прил.5'!N1164</f>
        <v>0</v>
      </c>
      <c r="N1184" s="36">
        <f t="shared" si="241"/>
        <v>849</v>
      </c>
      <c r="O1184" s="7">
        <f>'прил.5'!P775+'прил.5'!P945+'прил.5'!P1164</f>
        <v>0</v>
      </c>
      <c r="P1184" s="36">
        <f t="shared" si="249"/>
        <v>849</v>
      </c>
      <c r="Q1184" s="7">
        <f>'прил.5'!R775+'прил.5'!R945+'прил.5'!R1164</f>
        <v>0</v>
      </c>
      <c r="R1184" s="36">
        <f t="shared" si="246"/>
        <v>849</v>
      </c>
    </row>
    <row r="1185" spans="1:18" ht="12.75" hidden="1">
      <c r="A1185" s="62" t="str">
        <f ca="1" t="shared" si="252"/>
        <v>Субсидии автономным учреждениям</v>
      </c>
      <c r="B1185" s="46" t="s">
        <v>85</v>
      </c>
      <c r="C1185" s="8" t="s">
        <v>203</v>
      </c>
      <c r="D1185" s="1" t="s">
        <v>227</v>
      </c>
      <c r="E1185" s="115">
        <v>620</v>
      </c>
      <c r="F1185" s="7">
        <f>F1186</f>
        <v>0</v>
      </c>
      <c r="G1185" s="7">
        <f>G1186</f>
        <v>0</v>
      </c>
      <c r="H1185" s="36">
        <f t="shared" si="248"/>
        <v>0</v>
      </c>
      <c r="I1185" s="7">
        <f>I1186</f>
        <v>0</v>
      </c>
      <c r="J1185" s="36">
        <f t="shared" si="245"/>
        <v>0</v>
      </c>
      <c r="K1185" s="7">
        <f>K1186</f>
        <v>0</v>
      </c>
      <c r="L1185" s="36">
        <f t="shared" si="240"/>
        <v>0</v>
      </c>
      <c r="M1185" s="7">
        <f>M1186</f>
        <v>0</v>
      </c>
      <c r="N1185" s="36">
        <f t="shared" si="241"/>
        <v>0</v>
      </c>
      <c r="O1185" s="7">
        <f>O1186</f>
        <v>0</v>
      </c>
      <c r="P1185" s="36">
        <f t="shared" si="249"/>
        <v>0</v>
      </c>
      <c r="Q1185" s="7">
        <f>Q1186</f>
        <v>0</v>
      </c>
      <c r="R1185" s="36">
        <f t="shared" si="246"/>
        <v>0</v>
      </c>
    </row>
    <row r="1186" spans="1:18" ht="12.75" hidden="1">
      <c r="A1186" s="62" t="str">
        <f ca="1" t="shared" si="252"/>
        <v>Субсидии автономным учреждениям на иные цели</v>
      </c>
      <c r="B1186" s="46" t="s">
        <v>85</v>
      </c>
      <c r="C1186" s="8" t="s">
        <v>203</v>
      </c>
      <c r="D1186" s="1" t="s">
        <v>227</v>
      </c>
      <c r="E1186" s="115">
        <v>622</v>
      </c>
      <c r="F1186" s="7">
        <f>'прил.5'!G1166</f>
        <v>0</v>
      </c>
      <c r="G1186" s="7">
        <f>'прил.5'!H1166</f>
        <v>0</v>
      </c>
      <c r="H1186" s="36">
        <f t="shared" si="248"/>
        <v>0</v>
      </c>
      <c r="I1186" s="7">
        <f>'прил.5'!J1166</f>
        <v>0</v>
      </c>
      <c r="J1186" s="36">
        <f t="shared" si="245"/>
        <v>0</v>
      </c>
      <c r="K1186" s="7">
        <f>'прил.5'!L1166</f>
        <v>0</v>
      </c>
      <c r="L1186" s="36">
        <f t="shared" si="240"/>
        <v>0</v>
      </c>
      <c r="M1186" s="7">
        <f>'прил.5'!N1166</f>
        <v>0</v>
      </c>
      <c r="N1186" s="36">
        <f t="shared" si="241"/>
        <v>0</v>
      </c>
      <c r="O1186" s="7">
        <f>'прил.5'!P1166</f>
        <v>0</v>
      </c>
      <c r="P1186" s="36">
        <f t="shared" si="249"/>
        <v>0</v>
      </c>
      <c r="Q1186" s="7">
        <f>'прил.5'!R1166</f>
        <v>0</v>
      </c>
      <c r="R1186" s="36">
        <f t="shared" si="246"/>
        <v>0</v>
      </c>
    </row>
    <row r="1187" spans="1:18" ht="12.75">
      <c r="A1187" s="62" t="str">
        <f ca="1">IF(ISERROR(MATCH(C1187,Код_Раздел,0)),"",INDIRECT(ADDRESS(MATCH(C1187,Код_Раздел,0)+1,2,,,"Раздел")))</f>
        <v>Культура, кинематография</v>
      </c>
      <c r="B1187" s="46" t="s">
        <v>85</v>
      </c>
      <c r="C1187" s="8" t="s">
        <v>230</v>
      </c>
      <c r="D1187" s="1"/>
      <c r="E1187" s="115"/>
      <c r="F1187" s="7">
        <f aca="true" t="shared" si="253" ref="F1187:Q1190">F1188</f>
        <v>591</v>
      </c>
      <c r="G1187" s="7">
        <f t="shared" si="253"/>
        <v>0</v>
      </c>
      <c r="H1187" s="36">
        <f t="shared" si="248"/>
        <v>591</v>
      </c>
      <c r="I1187" s="7">
        <f t="shared" si="253"/>
        <v>0</v>
      </c>
      <c r="J1187" s="36">
        <f t="shared" si="245"/>
        <v>591</v>
      </c>
      <c r="K1187" s="7">
        <f t="shared" si="253"/>
        <v>0</v>
      </c>
      <c r="L1187" s="36">
        <f t="shared" si="240"/>
        <v>591</v>
      </c>
      <c r="M1187" s="7">
        <f t="shared" si="253"/>
        <v>0</v>
      </c>
      <c r="N1187" s="36">
        <f t="shared" si="241"/>
        <v>591</v>
      </c>
      <c r="O1187" s="7">
        <f t="shared" si="253"/>
        <v>0</v>
      </c>
      <c r="P1187" s="36">
        <f t="shared" si="249"/>
        <v>591</v>
      </c>
      <c r="Q1187" s="7">
        <f t="shared" si="253"/>
        <v>0</v>
      </c>
      <c r="R1187" s="36">
        <f t="shared" si="246"/>
        <v>591</v>
      </c>
    </row>
    <row r="1188" spans="1:18" ht="12.75">
      <c r="A1188" s="12" t="s">
        <v>171</v>
      </c>
      <c r="B1188" s="46" t="s">
        <v>85</v>
      </c>
      <c r="C1188" s="8" t="s">
        <v>230</v>
      </c>
      <c r="D1188" s="1" t="s">
        <v>224</v>
      </c>
      <c r="E1188" s="115"/>
      <c r="F1188" s="7">
        <f t="shared" si="253"/>
        <v>591</v>
      </c>
      <c r="G1188" s="7">
        <f t="shared" si="253"/>
        <v>0</v>
      </c>
      <c r="H1188" s="36">
        <f t="shared" si="248"/>
        <v>591</v>
      </c>
      <c r="I1188" s="7">
        <f t="shared" si="253"/>
        <v>0</v>
      </c>
      <c r="J1188" s="36">
        <f t="shared" si="245"/>
        <v>591</v>
      </c>
      <c r="K1188" s="7">
        <f t="shared" si="253"/>
        <v>0</v>
      </c>
      <c r="L1188" s="36">
        <f t="shared" si="240"/>
        <v>591</v>
      </c>
      <c r="M1188" s="7">
        <f t="shared" si="253"/>
        <v>0</v>
      </c>
      <c r="N1188" s="36">
        <f t="shared" si="241"/>
        <v>591</v>
      </c>
      <c r="O1188" s="7">
        <f t="shared" si="253"/>
        <v>0</v>
      </c>
      <c r="P1188" s="36">
        <f t="shared" si="249"/>
        <v>591</v>
      </c>
      <c r="Q1188" s="7">
        <f t="shared" si="253"/>
        <v>0</v>
      </c>
      <c r="R1188" s="36">
        <f t="shared" si="246"/>
        <v>591</v>
      </c>
    </row>
    <row r="1189" spans="1:18" ht="33">
      <c r="A1189" s="62" t="str">
        <f ca="1">IF(ISERROR(MATCH(E1189,Код_КВР,0)),"",INDIRECT(ADDRESS(MATCH(E1189,Код_КВР,0)+1,2,,,"КВР")))</f>
        <v>Предоставление субсидий бюджетным, автономным учреждениям и иным некоммерческим организациям</v>
      </c>
      <c r="B1189" s="46" t="s">
        <v>85</v>
      </c>
      <c r="C1189" s="8" t="s">
        <v>230</v>
      </c>
      <c r="D1189" s="1" t="s">
        <v>224</v>
      </c>
      <c r="E1189" s="115">
        <v>600</v>
      </c>
      <c r="F1189" s="7">
        <f t="shared" si="253"/>
        <v>591</v>
      </c>
      <c r="G1189" s="7">
        <f t="shared" si="253"/>
        <v>0</v>
      </c>
      <c r="H1189" s="36">
        <f t="shared" si="248"/>
        <v>591</v>
      </c>
      <c r="I1189" s="7">
        <f t="shared" si="253"/>
        <v>0</v>
      </c>
      <c r="J1189" s="36">
        <f t="shared" si="245"/>
        <v>591</v>
      </c>
      <c r="K1189" s="7">
        <f t="shared" si="253"/>
        <v>0</v>
      </c>
      <c r="L1189" s="36">
        <f t="shared" si="240"/>
        <v>591</v>
      </c>
      <c r="M1189" s="7">
        <f t="shared" si="253"/>
        <v>0</v>
      </c>
      <c r="N1189" s="36">
        <f t="shared" si="241"/>
        <v>591</v>
      </c>
      <c r="O1189" s="7">
        <f t="shared" si="253"/>
        <v>0</v>
      </c>
      <c r="P1189" s="36">
        <f t="shared" si="249"/>
        <v>591</v>
      </c>
      <c r="Q1189" s="7">
        <f t="shared" si="253"/>
        <v>0</v>
      </c>
      <c r="R1189" s="36">
        <f t="shared" si="246"/>
        <v>591</v>
      </c>
    </row>
    <row r="1190" spans="1:18" ht="12.75">
      <c r="A1190" s="62" t="str">
        <f ca="1">IF(ISERROR(MATCH(E1190,Код_КВР,0)),"",INDIRECT(ADDRESS(MATCH(E1190,Код_КВР,0)+1,2,,,"КВР")))</f>
        <v>Субсидии бюджетным учреждениям</v>
      </c>
      <c r="B1190" s="46" t="s">
        <v>85</v>
      </c>
      <c r="C1190" s="8" t="s">
        <v>230</v>
      </c>
      <c r="D1190" s="1" t="s">
        <v>224</v>
      </c>
      <c r="E1190" s="115">
        <v>610</v>
      </c>
      <c r="F1190" s="7">
        <f t="shared" si="253"/>
        <v>591</v>
      </c>
      <c r="G1190" s="7">
        <f t="shared" si="253"/>
        <v>0</v>
      </c>
      <c r="H1190" s="36">
        <f t="shared" si="248"/>
        <v>591</v>
      </c>
      <c r="I1190" s="7">
        <f t="shared" si="253"/>
        <v>0</v>
      </c>
      <c r="J1190" s="36">
        <f t="shared" si="245"/>
        <v>591</v>
      </c>
      <c r="K1190" s="7">
        <f t="shared" si="253"/>
        <v>0</v>
      </c>
      <c r="L1190" s="36">
        <f t="shared" si="240"/>
        <v>591</v>
      </c>
      <c r="M1190" s="7">
        <f t="shared" si="253"/>
        <v>0</v>
      </c>
      <c r="N1190" s="36">
        <f t="shared" si="241"/>
        <v>591</v>
      </c>
      <c r="O1190" s="7">
        <f t="shared" si="253"/>
        <v>0</v>
      </c>
      <c r="P1190" s="36">
        <f t="shared" si="249"/>
        <v>591</v>
      </c>
      <c r="Q1190" s="7">
        <f t="shared" si="253"/>
        <v>0</v>
      </c>
      <c r="R1190" s="36">
        <f t="shared" si="246"/>
        <v>591</v>
      </c>
    </row>
    <row r="1191" spans="1:18" ht="12.75">
      <c r="A1191" s="62" t="str">
        <f ca="1">IF(ISERROR(MATCH(E1191,Код_КВР,0)),"",INDIRECT(ADDRESS(MATCH(E1191,Код_КВР,0)+1,2,,,"КВР")))</f>
        <v>Субсидии бюджетным учреждениям на иные цели</v>
      </c>
      <c r="B1191" s="46" t="s">
        <v>85</v>
      </c>
      <c r="C1191" s="8" t="s">
        <v>230</v>
      </c>
      <c r="D1191" s="1" t="s">
        <v>224</v>
      </c>
      <c r="E1191" s="115">
        <v>612</v>
      </c>
      <c r="F1191" s="7">
        <f>'прил.5'!G1108</f>
        <v>591</v>
      </c>
      <c r="G1191" s="7">
        <f>'прил.5'!H1108</f>
        <v>0</v>
      </c>
      <c r="H1191" s="36">
        <f t="shared" si="248"/>
        <v>591</v>
      </c>
      <c r="I1191" s="7">
        <f>'прил.5'!J1108</f>
        <v>0</v>
      </c>
      <c r="J1191" s="36">
        <f t="shared" si="245"/>
        <v>591</v>
      </c>
      <c r="K1191" s="7">
        <f>'прил.5'!L1108</f>
        <v>0</v>
      </c>
      <c r="L1191" s="36">
        <f t="shared" si="240"/>
        <v>591</v>
      </c>
      <c r="M1191" s="7">
        <f>'прил.5'!N1108</f>
        <v>0</v>
      </c>
      <c r="N1191" s="36">
        <f t="shared" si="241"/>
        <v>591</v>
      </c>
      <c r="O1191" s="7">
        <f>'прил.5'!P1108</f>
        <v>0</v>
      </c>
      <c r="P1191" s="36">
        <f t="shared" si="249"/>
        <v>591</v>
      </c>
      <c r="Q1191" s="7">
        <f>'прил.5'!R1108</f>
        <v>0</v>
      </c>
      <c r="R1191" s="36">
        <f t="shared" si="246"/>
        <v>591</v>
      </c>
    </row>
    <row r="1192" spans="1:18" ht="12.75">
      <c r="A1192" s="62" t="str">
        <f ca="1">IF(ISERROR(MATCH(C1192,Код_Раздел,0)),"",INDIRECT(ADDRESS(MATCH(C1192,Код_Раздел,0)+1,2,,,"Раздел")))</f>
        <v>Средства массовой информации</v>
      </c>
      <c r="B1192" s="46" t="s">
        <v>85</v>
      </c>
      <c r="C1192" s="8" t="s">
        <v>204</v>
      </c>
      <c r="D1192" s="1"/>
      <c r="E1192" s="115"/>
      <c r="F1192" s="7"/>
      <c r="G1192" s="7"/>
      <c r="H1192" s="36"/>
      <c r="I1192" s="7">
        <f>I1193</f>
        <v>7.5</v>
      </c>
      <c r="J1192" s="36">
        <f t="shared" si="245"/>
        <v>7.5</v>
      </c>
      <c r="K1192" s="7">
        <f>K1193</f>
        <v>0</v>
      </c>
      <c r="L1192" s="36">
        <f t="shared" si="240"/>
        <v>7.5</v>
      </c>
      <c r="M1192" s="7">
        <f>M1193</f>
        <v>0</v>
      </c>
      <c r="N1192" s="36">
        <f t="shared" si="241"/>
        <v>7.5</v>
      </c>
      <c r="O1192" s="7">
        <f>O1193</f>
        <v>0</v>
      </c>
      <c r="P1192" s="36">
        <f t="shared" si="249"/>
        <v>7.5</v>
      </c>
      <c r="Q1192" s="7">
        <f>Q1193</f>
        <v>0</v>
      </c>
      <c r="R1192" s="36">
        <f t="shared" si="246"/>
        <v>7.5</v>
      </c>
    </row>
    <row r="1193" spans="1:18" ht="12.75">
      <c r="A1193" s="12" t="s">
        <v>206</v>
      </c>
      <c r="B1193" s="46" t="s">
        <v>85</v>
      </c>
      <c r="C1193" s="8" t="s">
        <v>204</v>
      </c>
      <c r="D1193" s="1" t="s">
        <v>222</v>
      </c>
      <c r="E1193" s="115"/>
      <c r="F1193" s="7"/>
      <c r="G1193" s="7"/>
      <c r="H1193" s="36"/>
      <c r="I1193" s="7">
        <f>I1194</f>
        <v>7.5</v>
      </c>
      <c r="J1193" s="36">
        <f t="shared" si="245"/>
        <v>7.5</v>
      </c>
      <c r="K1193" s="7">
        <f>K1194</f>
        <v>0</v>
      </c>
      <c r="L1193" s="36">
        <f t="shared" si="240"/>
        <v>7.5</v>
      </c>
      <c r="M1193" s="7">
        <f>M1194</f>
        <v>0</v>
      </c>
      <c r="N1193" s="36">
        <f t="shared" si="241"/>
        <v>7.5</v>
      </c>
      <c r="O1193" s="7">
        <f>O1194</f>
        <v>0</v>
      </c>
      <c r="P1193" s="36">
        <f t="shared" si="249"/>
        <v>7.5</v>
      </c>
      <c r="Q1193" s="7">
        <f>Q1194</f>
        <v>0</v>
      </c>
      <c r="R1193" s="36">
        <f t="shared" si="246"/>
        <v>7.5</v>
      </c>
    </row>
    <row r="1194" spans="1:18" ht="19.5" customHeight="1">
      <c r="A1194" s="62" t="str">
        <f ca="1">IF(ISERROR(MATCH(E1194,Код_КВР,0)),"",INDIRECT(ADDRESS(MATCH(E1194,Код_КВР,0)+1,2,,,"КВР")))</f>
        <v>Закупка товаров, работ и услуг для муниципальных нужд</v>
      </c>
      <c r="B1194" s="46" t="s">
        <v>85</v>
      </c>
      <c r="C1194" s="8" t="s">
        <v>204</v>
      </c>
      <c r="D1194" s="1" t="s">
        <v>222</v>
      </c>
      <c r="E1194" s="115">
        <v>200</v>
      </c>
      <c r="F1194" s="7"/>
      <c r="G1194" s="7"/>
      <c r="H1194" s="36"/>
      <c r="I1194" s="7">
        <f>I1195</f>
        <v>7.5</v>
      </c>
      <c r="J1194" s="36">
        <f t="shared" si="245"/>
        <v>7.5</v>
      </c>
      <c r="K1194" s="7">
        <f>K1195</f>
        <v>0</v>
      </c>
      <c r="L1194" s="36">
        <f t="shared" si="240"/>
        <v>7.5</v>
      </c>
      <c r="M1194" s="7">
        <f>M1195</f>
        <v>0</v>
      </c>
      <c r="N1194" s="36">
        <f t="shared" si="241"/>
        <v>7.5</v>
      </c>
      <c r="O1194" s="7">
        <f>O1195</f>
        <v>0</v>
      </c>
      <c r="P1194" s="36">
        <f t="shared" si="249"/>
        <v>7.5</v>
      </c>
      <c r="Q1194" s="7">
        <f>Q1195</f>
        <v>0</v>
      </c>
      <c r="R1194" s="36">
        <f t="shared" si="246"/>
        <v>7.5</v>
      </c>
    </row>
    <row r="1195" spans="1:18" ht="33">
      <c r="A1195" s="62" t="str">
        <f ca="1">IF(ISERROR(MATCH(E1195,Код_КВР,0)),"",INDIRECT(ADDRESS(MATCH(E1195,Код_КВР,0)+1,2,,,"КВР")))</f>
        <v>Иные закупки товаров, работ и услуг для обеспечения муниципальных нужд</v>
      </c>
      <c r="B1195" s="46" t="s">
        <v>85</v>
      </c>
      <c r="C1195" s="8" t="s">
        <v>204</v>
      </c>
      <c r="D1195" s="1" t="s">
        <v>222</v>
      </c>
      <c r="E1195" s="115">
        <v>240</v>
      </c>
      <c r="F1195" s="7"/>
      <c r="G1195" s="7"/>
      <c r="H1195" s="36"/>
      <c r="I1195" s="7">
        <f>I1196</f>
        <v>7.5</v>
      </c>
      <c r="J1195" s="36">
        <f t="shared" si="245"/>
        <v>7.5</v>
      </c>
      <c r="K1195" s="7">
        <f>K1196</f>
        <v>0</v>
      </c>
      <c r="L1195" s="36">
        <f t="shared" si="240"/>
        <v>7.5</v>
      </c>
      <c r="M1195" s="7">
        <f>M1196</f>
        <v>0</v>
      </c>
      <c r="N1195" s="36">
        <f t="shared" si="241"/>
        <v>7.5</v>
      </c>
      <c r="O1195" s="7">
        <f>O1196</f>
        <v>0</v>
      </c>
      <c r="P1195" s="36">
        <f t="shared" si="249"/>
        <v>7.5</v>
      </c>
      <c r="Q1195" s="7">
        <f>Q1196</f>
        <v>0</v>
      </c>
      <c r="R1195" s="36">
        <f t="shared" si="246"/>
        <v>7.5</v>
      </c>
    </row>
    <row r="1196" spans="1:18" ht="33">
      <c r="A1196" s="62" t="str">
        <f ca="1">IF(ISERROR(MATCH(E1196,Код_КВР,0)),"",INDIRECT(ADDRESS(MATCH(E1196,Код_КВР,0)+1,2,,,"КВР")))</f>
        <v xml:space="preserve">Прочая закупка товаров, работ и услуг для обеспечения муниципальных нужд         </v>
      </c>
      <c r="B1196" s="46" t="s">
        <v>85</v>
      </c>
      <c r="C1196" s="8" t="s">
        <v>204</v>
      </c>
      <c r="D1196" s="1" t="s">
        <v>222</v>
      </c>
      <c r="E1196" s="115">
        <v>244</v>
      </c>
      <c r="F1196" s="7"/>
      <c r="G1196" s="7"/>
      <c r="H1196" s="36"/>
      <c r="I1196" s="7">
        <f>'прил.5'!J369</f>
        <v>7.5</v>
      </c>
      <c r="J1196" s="36">
        <f t="shared" si="245"/>
        <v>7.5</v>
      </c>
      <c r="K1196" s="7">
        <f>'прил.5'!L369</f>
        <v>0</v>
      </c>
      <c r="L1196" s="36">
        <f t="shared" si="240"/>
        <v>7.5</v>
      </c>
      <c r="M1196" s="7">
        <f>'прил.5'!N369</f>
        <v>0</v>
      </c>
      <c r="N1196" s="36">
        <f t="shared" si="241"/>
        <v>7.5</v>
      </c>
      <c r="O1196" s="7">
        <f>'прил.5'!P369</f>
        <v>0</v>
      </c>
      <c r="P1196" s="36">
        <f t="shared" si="249"/>
        <v>7.5</v>
      </c>
      <c r="Q1196" s="7">
        <f>'прил.5'!R369</f>
        <v>0</v>
      </c>
      <c r="R1196" s="36">
        <f t="shared" si="246"/>
        <v>7.5</v>
      </c>
    </row>
    <row r="1197" spans="1:18" ht="12.75">
      <c r="A1197" s="62" t="str">
        <f ca="1">IF(ISERROR(MATCH(B1197,Код_КЦСР,0)),"",INDIRECT(ADDRESS(MATCH(B1197,Код_КЦСР,0)+1,2,,,"КЦСР")))</f>
        <v>Ремонт и оборудование эвакуационных путей  зданий</v>
      </c>
      <c r="B1197" s="46" t="s">
        <v>89</v>
      </c>
      <c r="C1197" s="8"/>
      <c r="D1197" s="1"/>
      <c r="E1197" s="115"/>
      <c r="F1197" s="7">
        <f>F1198+F1205</f>
        <v>3239.6</v>
      </c>
      <c r="G1197" s="7">
        <f>G1198+G1205</f>
        <v>0</v>
      </c>
      <c r="H1197" s="36">
        <f t="shared" si="248"/>
        <v>3239.6</v>
      </c>
      <c r="I1197" s="7">
        <f>I1198+I1205</f>
        <v>0</v>
      </c>
      <c r="J1197" s="36">
        <f t="shared" si="245"/>
        <v>3239.6</v>
      </c>
      <c r="K1197" s="7">
        <f>K1198+K1205</f>
        <v>0</v>
      </c>
      <c r="L1197" s="36">
        <f aca="true" t="shared" si="254" ref="L1197:L1260">J1197+K1197</f>
        <v>3239.6</v>
      </c>
      <c r="M1197" s="7">
        <f>M1198+M1205</f>
        <v>0</v>
      </c>
      <c r="N1197" s="36">
        <f aca="true" t="shared" si="255" ref="N1197:N1260">L1197+M1197</f>
        <v>3239.6</v>
      </c>
      <c r="O1197" s="7">
        <f>O1198+O1205</f>
        <v>0</v>
      </c>
      <c r="P1197" s="36">
        <f t="shared" si="249"/>
        <v>3239.6</v>
      </c>
      <c r="Q1197" s="7">
        <f>Q1198+Q1205</f>
        <v>0</v>
      </c>
      <c r="R1197" s="36">
        <f t="shared" si="246"/>
        <v>3239.6</v>
      </c>
    </row>
    <row r="1198" spans="1:18" ht="12.75">
      <c r="A1198" s="62" t="str">
        <f ca="1">IF(ISERROR(MATCH(C1198,Код_Раздел,0)),"",INDIRECT(ADDRESS(MATCH(C1198,Код_Раздел,0)+1,2,,,"Раздел")))</f>
        <v>Образование</v>
      </c>
      <c r="B1198" s="46" t="s">
        <v>89</v>
      </c>
      <c r="C1198" s="8" t="s">
        <v>203</v>
      </c>
      <c r="D1198" s="1"/>
      <c r="E1198" s="115"/>
      <c r="F1198" s="7">
        <f>F1199</f>
        <v>3239.6</v>
      </c>
      <c r="G1198" s="7">
        <f>G1199</f>
        <v>0</v>
      </c>
      <c r="H1198" s="36">
        <f t="shared" si="248"/>
        <v>3239.6</v>
      </c>
      <c r="I1198" s="7">
        <f>I1199</f>
        <v>0</v>
      </c>
      <c r="J1198" s="36">
        <f t="shared" si="245"/>
        <v>3239.6</v>
      </c>
      <c r="K1198" s="7">
        <f>K1199</f>
        <v>0</v>
      </c>
      <c r="L1198" s="36">
        <f t="shared" si="254"/>
        <v>3239.6</v>
      </c>
      <c r="M1198" s="7">
        <f>M1199</f>
        <v>0</v>
      </c>
      <c r="N1198" s="36">
        <f t="shared" si="255"/>
        <v>3239.6</v>
      </c>
      <c r="O1198" s="7">
        <f>O1199</f>
        <v>0</v>
      </c>
      <c r="P1198" s="36">
        <f t="shared" si="249"/>
        <v>3239.6</v>
      </c>
      <c r="Q1198" s="7">
        <f>Q1199</f>
        <v>0</v>
      </c>
      <c r="R1198" s="36">
        <f t="shared" si="246"/>
        <v>3239.6</v>
      </c>
    </row>
    <row r="1199" spans="1:18" ht="12.75">
      <c r="A1199" s="12" t="s">
        <v>259</v>
      </c>
      <c r="B1199" s="46" t="s">
        <v>89</v>
      </c>
      <c r="C1199" s="8" t="s">
        <v>203</v>
      </c>
      <c r="D1199" s="1" t="s">
        <v>227</v>
      </c>
      <c r="E1199" s="115"/>
      <c r="F1199" s="7">
        <f>F1200</f>
        <v>3239.6</v>
      </c>
      <c r="G1199" s="7">
        <f>G1200</f>
        <v>0</v>
      </c>
      <c r="H1199" s="36">
        <f t="shared" si="248"/>
        <v>3239.6</v>
      </c>
      <c r="I1199" s="7">
        <f>I1200</f>
        <v>0</v>
      </c>
      <c r="J1199" s="36">
        <f t="shared" si="245"/>
        <v>3239.6</v>
      </c>
      <c r="K1199" s="7">
        <f>K1200</f>
        <v>0</v>
      </c>
      <c r="L1199" s="36">
        <f t="shared" si="254"/>
        <v>3239.6</v>
      </c>
      <c r="M1199" s="7">
        <f>M1200</f>
        <v>0</v>
      </c>
      <c r="N1199" s="36">
        <f t="shared" si="255"/>
        <v>3239.6</v>
      </c>
      <c r="O1199" s="7">
        <f>O1200</f>
        <v>0</v>
      </c>
      <c r="P1199" s="36">
        <f t="shared" si="249"/>
        <v>3239.6</v>
      </c>
      <c r="Q1199" s="7">
        <f>Q1200</f>
        <v>0</v>
      </c>
      <c r="R1199" s="36">
        <f t="shared" si="246"/>
        <v>3239.6</v>
      </c>
    </row>
    <row r="1200" spans="1:18" ht="33">
      <c r="A1200" s="62" t="str">
        <f ca="1">IF(ISERROR(MATCH(E1200,Код_КВР,0)),"",INDIRECT(ADDRESS(MATCH(E1200,Код_КВР,0)+1,2,,,"КВР")))</f>
        <v>Предоставление субсидий бюджетным, автономным учреждениям и иным некоммерческим организациям</v>
      </c>
      <c r="B1200" s="46" t="s">
        <v>89</v>
      </c>
      <c r="C1200" s="8" t="s">
        <v>203</v>
      </c>
      <c r="D1200" s="1" t="s">
        <v>227</v>
      </c>
      <c r="E1200" s="115">
        <v>600</v>
      </c>
      <c r="F1200" s="7">
        <f>F1201+F1203</f>
        <v>3239.6</v>
      </c>
      <c r="G1200" s="7">
        <f>G1201+G1203</f>
        <v>0</v>
      </c>
      <c r="H1200" s="36">
        <f t="shared" si="248"/>
        <v>3239.6</v>
      </c>
      <c r="I1200" s="7">
        <f>I1201+I1203</f>
        <v>0</v>
      </c>
      <c r="J1200" s="36">
        <f t="shared" si="245"/>
        <v>3239.6</v>
      </c>
      <c r="K1200" s="7">
        <f>K1201+K1203</f>
        <v>0</v>
      </c>
      <c r="L1200" s="36">
        <f t="shared" si="254"/>
        <v>3239.6</v>
      </c>
      <c r="M1200" s="7">
        <f>M1201+M1203</f>
        <v>0</v>
      </c>
      <c r="N1200" s="36">
        <f t="shared" si="255"/>
        <v>3239.6</v>
      </c>
      <c r="O1200" s="7">
        <f>O1201+O1203</f>
        <v>0</v>
      </c>
      <c r="P1200" s="36">
        <f t="shared" si="249"/>
        <v>3239.6</v>
      </c>
      <c r="Q1200" s="7">
        <f>Q1201+Q1203</f>
        <v>0</v>
      </c>
      <c r="R1200" s="36">
        <f t="shared" si="246"/>
        <v>3239.6</v>
      </c>
    </row>
    <row r="1201" spans="1:18" ht="12.75">
      <c r="A1201" s="62" t="str">
        <f ca="1">IF(ISERROR(MATCH(E1201,Код_КВР,0)),"",INDIRECT(ADDRESS(MATCH(E1201,Код_КВР,0)+1,2,,,"КВР")))</f>
        <v>Субсидии бюджетным учреждениям</v>
      </c>
      <c r="B1201" s="46" t="s">
        <v>89</v>
      </c>
      <c r="C1201" s="8" t="s">
        <v>203</v>
      </c>
      <c r="D1201" s="1" t="s">
        <v>227</v>
      </c>
      <c r="E1201" s="115">
        <v>610</v>
      </c>
      <c r="F1201" s="7">
        <f>F1202</f>
        <v>3239.6</v>
      </c>
      <c r="G1201" s="7">
        <f>G1202</f>
        <v>0</v>
      </c>
      <c r="H1201" s="36">
        <f t="shared" si="248"/>
        <v>3239.6</v>
      </c>
      <c r="I1201" s="7">
        <f>I1202</f>
        <v>0</v>
      </c>
      <c r="J1201" s="36">
        <f t="shared" si="245"/>
        <v>3239.6</v>
      </c>
      <c r="K1201" s="7">
        <f>K1202</f>
        <v>0</v>
      </c>
      <c r="L1201" s="36">
        <f t="shared" si="254"/>
        <v>3239.6</v>
      </c>
      <c r="M1201" s="7">
        <f>M1202</f>
        <v>0</v>
      </c>
      <c r="N1201" s="36">
        <f t="shared" si="255"/>
        <v>3239.6</v>
      </c>
      <c r="O1201" s="7">
        <f>O1202</f>
        <v>0</v>
      </c>
      <c r="P1201" s="36">
        <f t="shared" si="249"/>
        <v>3239.6</v>
      </c>
      <c r="Q1201" s="7">
        <f>Q1202</f>
        <v>0</v>
      </c>
      <c r="R1201" s="36">
        <f t="shared" si="246"/>
        <v>3239.6</v>
      </c>
    </row>
    <row r="1202" spans="1:18" ht="12.75">
      <c r="A1202" s="62" t="str">
        <f ca="1">IF(ISERROR(MATCH(E1202,Код_КВР,0)),"",INDIRECT(ADDRESS(MATCH(E1202,Код_КВР,0)+1,2,,,"КВР")))</f>
        <v>Субсидии бюджетным учреждениям на иные цели</v>
      </c>
      <c r="B1202" s="46" t="s">
        <v>89</v>
      </c>
      <c r="C1202" s="8" t="s">
        <v>203</v>
      </c>
      <c r="D1202" s="1" t="s">
        <v>227</v>
      </c>
      <c r="E1202" s="115">
        <v>612</v>
      </c>
      <c r="F1202" s="7">
        <f>'прил.5'!G779+'прил.5'!G949+'прил.5'!G1170</f>
        <v>3239.6</v>
      </c>
      <c r="G1202" s="7">
        <f>'прил.5'!H779+'прил.5'!H949+'прил.5'!H1170</f>
        <v>0</v>
      </c>
      <c r="H1202" s="36">
        <f t="shared" si="248"/>
        <v>3239.6</v>
      </c>
      <c r="I1202" s="7">
        <f>'прил.5'!J779+'прил.5'!J949+'прил.5'!J1170</f>
        <v>0</v>
      </c>
      <c r="J1202" s="36">
        <f t="shared" si="245"/>
        <v>3239.6</v>
      </c>
      <c r="K1202" s="7">
        <f>'прил.5'!L779+'прил.5'!L949+'прил.5'!L1170</f>
        <v>0</v>
      </c>
      <c r="L1202" s="36">
        <f t="shared" si="254"/>
        <v>3239.6</v>
      </c>
      <c r="M1202" s="7">
        <f>'прил.5'!N779+'прил.5'!N949+'прил.5'!N1170</f>
        <v>0</v>
      </c>
      <c r="N1202" s="36">
        <f t="shared" si="255"/>
        <v>3239.6</v>
      </c>
      <c r="O1202" s="7">
        <f>'прил.5'!P779+'прил.5'!P949+'прил.5'!P1170</f>
        <v>0</v>
      </c>
      <c r="P1202" s="36">
        <f t="shared" si="249"/>
        <v>3239.6</v>
      </c>
      <c r="Q1202" s="7">
        <f>'прил.5'!R779+'прил.5'!R949+'прил.5'!R1170</f>
        <v>0</v>
      </c>
      <c r="R1202" s="36">
        <f t="shared" si="246"/>
        <v>3239.6</v>
      </c>
    </row>
    <row r="1203" spans="1:18" ht="12.75" hidden="1">
      <c r="A1203" s="62" t="str">
        <f ca="1">IF(ISERROR(MATCH(E1203,Код_КВР,0)),"",INDIRECT(ADDRESS(MATCH(E1203,Код_КВР,0)+1,2,,,"КВР")))</f>
        <v>Субсидии автономным учреждениям</v>
      </c>
      <c r="B1203" s="46" t="s">
        <v>89</v>
      </c>
      <c r="C1203" s="8" t="s">
        <v>203</v>
      </c>
      <c r="D1203" s="1" t="s">
        <v>227</v>
      </c>
      <c r="E1203" s="115">
        <v>620</v>
      </c>
      <c r="F1203" s="7">
        <f>F1204</f>
        <v>0</v>
      </c>
      <c r="G1203" s="7">
        <f>G1204</f>
        <v>0</v>
      </c>
      <c r="H1203" s="36">
        <f t="shared" si="248"/>
        <v>0</v>
      </c>
      <c r="I1203" s="7">
        <f>I1204</f>
        <v>0</v>
      </c>
      <c r="J1203" s="36">
        <f t="shared" si="245"/>
        <v>0</v>
      </c>
      <c r="K1203" s="7">
        <f>K1204</f>
        <v>0</v>
      </c>
      <c r="L1203" s="36">
        <f t="shared" si="254"/>
        <v>0</v>
      </c>
      <c r="M1203" s="7">
        <f>M1204</f>
        <v>0</v>
      </c>
      <c r="N1203" s="36">
        <f t="shared" si="255"/>
        <v>0</v>
      </c>
      <c r="O1203" s="7">
        <f>O1204</f>
        <v>0</v>
      </c>
      <c r="P1203" s="36">
        <f t="shared" si="249"/>
        <v>0</v>
      </c>
      <c r="Q1203" s="7">
        <f>Q1204</f>
        <v>0</v>
      </c>
      <c r="R1203" s="36">
        <f t="shared" si="246"/>
        <v>0</v>
      </c>
    </row>
    <row r="1204" spans="1:18" ht="12.75" hidden="1">
      <c r="A1204" s="62" t="str">
        <f ca="1">IF(ISERROR(MATCH(E1204,Код_КВР,0)),"",INDIRECT(ADDRESS(MATCH(E1204,Код_КВР,0)+1,2,,,"КВР")))</f>
        <v>Субсидии автономным учреждениям на иные цели</v>
      </c>
      <c r="B1204" s="46" t="s">
        <v>89</v>
      </c>
      <c r="C1204" s="8" t="s">
        <v>203</v>
      </c>
      <c r="D1204" s="1" t="s">
        <v>227</v>
      </c>
      <c r="E1204" s="115">
        <v>622</v>
      </c>
      <c r="F1204" s="7">
        <f>'прил.5'!G1172</f>
        <v>0</v>
      </c>
      <c r="G1204" s="7">
        <f>'прил.5'!H1172</f>
        <v>0</v>
      </c>
      <c r="H1204" s="36">
        <f t="shared" si="248"/>
        <v>0</v>
      </c>
      <c r="I1204" s="7">
        <f>'прил.5'!J1172</f>
        <v>0</v>
      </c>
      <c r="J1204" s="36">
        <f t="shared" si="245"/>
        <v>0</v>
      </c>
      <c r="K1204" s="7">
        <f>'прил.5'!L1172</f>
        <v>0</v>
      </c>
      <c r="L1204" s="36">
        <f t="shared" si="254"/>
        <v>0</v>
      </c>
      <c r="M1204" s="7">
        <f>'прил.5'!N1172</f>
        <v>0</v>
      </c>
      <c r="N1204" s="36">
        <f t="shared" si="255"/>
        <v>0</v>
      </c>
      <c r="O1204" s="7">
        <f>'прил.5'!P1172</f>
        <v>0</v>
      </c>
      <c r="P1204" s="36">
        <f t="shared" si="249"/>
        <v>0</v>
      </c>
      <c r="Q1204" s="7">
        <f>'прил.5'!R1172</f>
        <v>0</v>
      </c>
      <c r="R1204" s="36">
        <f t="shared" si="246"/>
        <v>0</v>
      </c>
    </row>
    <row r="1205" spans="1:18" ht="12.75" hidden="1">
      <c r="A1205" s="62" t="str">
        <f ca="1">IF(ISERROR(MATCH(C1205,Код_Раздел,0)),"",INDIRECT(ADDRESS(MATCH(C1205,Код_Раздел,0)+1,2,,,"Раздел")))</f>
        <v>Культура, кинематография</v>
      </c>
      <c r="B1205" s="46" t="s">
        <v>89</v>
      </c>
      <c r="C1205" s="8" t="s">
        <v>230</v>
      </c>
      <c r="D1205" s="1"/>
      <c r="E1205" s="115"/>
      <c r="F1205" s="7">
        <f>F1206</f>
        <v>0</v>
      </c>
      <c r="G1205" s="7">
        <f>G1206</f>
        <v>0</v>
      </c>
      <c r="H1205" s="36">
        <f t="shared" si="248"/>
        <v>0</v>
      </c>
      <c r="I1205" s="7">
        <f>I1206</f>
        <v>0</v>
      </c>
      <c r="J1205" s="36">
        <f t="shared" si="245"/>
        <v>0</v>
      </c>
      <c r="K1205" s="7">
        <f>K1206</f>
        <v>0</v>
      </c>
      <c r="L1205" s="36">
        <f t="shared" si="254"/>
        <v>0</v>
      </c>
      <c r="M1205" s="7">
        <f>M1206</f>
        <v>0</v>
      </c>
      <c r="N1205" s="36">
        <f t="shared" si="255"/>
        <v>0</v>
      </c>
      <c r="O1205" s="7">
        <f>O1206</f>
        <v>0</v>
      </c>
      <c r="P1205" s="36">
        <f t="shared" si="249"/>
        <v>0</v>
      </c>
      <c r="Q1205" s="7">
        <f>Q1206</f>
        <v>0</v>
      </c>
      <c r="R1205" s="36">
        <f t="shared" si="246"/>
        <v>0</v>
      </c>
    </row>
    <row r="1206" spans="1:18" ht="12.75" hidden="1">
      <c r="A1206" s="12" t="s">
        <v>171</v>
      </c>
      <c r="B1206" s="46" t="s">
        <v>89</v>
      </c>
      <c r="C1206" s="8" t="s">
        <v>230</v>
      </c>
      <c r="D1206" s="1" t="s">
        <v>224</v>
      </c>
      <c r="E1206" s="115"/>
      <c r="F1206" s="7">
        <f>F1207</f>
        <v>0</v>
      </c>
      <c r="G1206" s="7">
        <f>G1207</f>
        <v>0</v>
      </c>
      <c r="H1206" s="36">
        <f t="shared" si="248"/>
        <v>0</v>
      </c>
      <c r="I1206" s="7">
        <f>I1207</f>
        <v>0</v>
      </c>
      <c r="J1206" s="36">
        <f t="shared" si="245"/>
        <v>0</v>
      </c>
      <c r="K1206" s="7">
        <f>K1207</f>
        <v>0</v>
      </c>
      <c r="L1206" s="36">
        <f t="shared" si="254"/>
        <v>0</v>
      </c>
      <c r="M1206" s="7">
        <f>M1207</f>
        <v>0</v>
      </c>
      <c r="N1206" s="36">
        <f t="shared" si="255"/>
        <v>0</v>
      </c>
      <c r="O1206" s="7">
        <f>O1207</f>
        <v>0</v>
      </c>
      <c r="P1206" s="36">
        <f t="shared" si="249"/>
        <v>0</v>
      </c>
      <c r="Q1206" s="7">
        <f>Q1207</f>
        <v>0</v>
      </c>
      <c r="R1206" s="36">
        <f t="shared" si="246"/>
        <v>0</v>
      </c>
    </row>
    <row r="1207" spans="1:18" ht="33" hidden="1">
      <c r="A1207" s="62" t="str">
        <f ca="1">IF(ISERROR(MATCH(E1207,Код_КВР,0)),"",INDIRECT(ADDRESS(MATCH(E1207,Код_КВР,0)+1,2,,,"КВР")))</f>
        <v>Предоставление субсидий бюджетным, автономным учреждениям и иным некоммерческим организациям</v>
      </c>
      <c r="B1207" s="46" t="s">
        <v>89</v>
      </c>
      <c r="C1207" s="8" t="s">
        <v>230</v>
      </c>
      <c r="D1207" s="1" t="s">
        <v>224</v>
      </c>
      <c r="E1207" s="115">
        <v>600</v>
      </c>
      <c r="F1207" s="7">
        <f>F1208+F1210</f>
        <v>0</v>
      </c>
      <c r="G1207" s="7">
        <f>G1208+G1210</f>
        <v>0</v>
      </c>
      <c r="H1207" s="36">
        <f t="shared" si="248"/>
        <v>0</v>
      </c>
      <c r="I1207" s="7">
        <f>I1208+I1210</f>
        <v>0</v>
      </c>
      <c r="J1207" s="36">
        <f t="shared" si="245"/>
        <v>0</v>
      </c>
      <c r="K1207" s="7">
        <f>K1208+K1210</f>
        <v>0</v>
      </c>
      <c r="L1207" s="36">
        <f t="shared" si="254"/>
        <v>0</v>
      </c>
      <c r="M1207" s="7">
        <f>M1208+M1210</f>
        <v>0</v>
      </c>
      <c r="N1207" s="36">
        <f t="shared" si="255"/>
        <v>0</v>
      </c>
      <c r="O1207" s="7">
        <f>O1208+O1210</f>
        <v>0</v>
      </c>
      <c r="P1207" s="36">
        <f t="shared" si="249"/>
        <v>0</v>
      </c>
      <c r="Q1207" s="7">
        <f>Q1208+Q1210</f>
        <v>0</v>
      </c>
      <c r="R1207" s="36">
        <f t="shared" si="246"/>
        <v>0</v>
      </c>
    </row>
    <row r="1208" spans="1:18" ht="12.75" hidden="1">
      <c r="A1208" s="62" t="str">
        <f ca="1">IF(ISERROR(MATCH(E1208,Код_КВР,0)),"",INDIRECT(ADDRESS(MATCH(E1208,Код_КВР,0)+1,2,,,"КВР")))</f>
        <v>Субсидии бюджетным учреждениям</v>
      </c>
      <c r="B1208" s="46" t="s">
        <v>89</v>
      </c>
      <c r="C1208" s="8" t="s">
        <v>230</v>
      </c>
      <c r="D1208" s="1" t="s">
        <v>224</v>
      </c>
      <c r="E1208" s="115">
        <v>610</v>
      </c>
      <c r="F1208" s="7">
        <f>F1209</f>
        <v>0</v>
      </c>
      <c r="G1208" s="7">
        <f>G1209</f>
        <v>0</v>
      </c>
      <c r="H1208" s="36">
        <f t="shared" si="248"/>
        <v>0</v>
      </c>
      <c r="I1208" s="7">
        <f>I1209</f>
        <v>0</v>
      </c>
      <c r="J1208" s="36">
        <f t="shared" si="245"/>
        <v>0</v>
      </c>
      <c r="K1208" s="7">
        <f>K1209</f>
        <v>0</v>
      </c>
      <c r="L1208" s="36">
        <f t="shared" si="254"/>
        <v>0</v>
      </c>
      <c r="M1208" s="7">
        <f>M1209</f>
        <v>0</v>
      </c>
      <c r="N1208" s="36">
        <f t="shared" si="255"/>
        <v>0</v>
      </c>
      <c r="O1208" s="7">
        <f>O1209</f>
        <v>0</v>
      </c>
      <c r="P1208" s="36">
        <f t="shared" si="249"/>
        <v>0</v>
      </c>
      <c r="Q1208" s="7">
        <f>Q1209</f>
        <v>0</v>
      </c>
      <c r="R1208" s="36">
        <f t="shared" si="246"/>
        <v>0</v>
      </c>
    </row>
    <row r="1209" spans="1:18" ht="12.75" hidden="1">
      <c r="A1209" s="62" t="str">
        <f ca="1">IF(ISERROR(MATCH(E1209,Код_КВР,0)),"",INDIRECT(ADDRESS(MATCH(E1209,Код_КВР,0)+1,2,,,"КВР")))</f>
        <v>Субсидии бюджетным учреждениям на иные цели</v>
      </c>
      <c r="B1209" s="46" t="s">
        <v>89</v>
      </c>
      <c r="C1209" s="8" t="s">
        <v>230</v>
      </c>
      <c r="D1209" s="1" t="s">
        <v>224</v>
      </c>
      <c r="E1209" s="115">
        <v>612</v>
      </c>
      <c r="F1209" s="7">
        <f>'прил.5'!G1112</f>
        <v>0</v>
      </c>
      <c r="G1209" s="7">
        <f>'прил.5'!H1112</f>
        <v>0</v>
      </c>
      <c r="H1209" s="36">
        <f t="shared" si="248"/>
        <v>0</v>
      </c>
      <c r="I1209" s="7">
        <f>'прил.5'!J1112</f>
        <v>0</v>
      </c>
      <c r="J1209" s="36">
        <f t="shared" si="245"/>
        <v>0</v>
      </c>
      <c r="K1209" s="7">
        <f>'прил.5'!L1112</f>
        <v>0</v>
      </c>
      <c r="L1209" s="36">
        <f t="shared" si="254"/>
        <v>0</v>
      </c>
      <c r="M1209" s="7">
        <f>'прил.5'!N1112</f>
        <v>0</v>
      </c>
      <c r="N1209" s="36">
        <f t="shared" si="255"/>
        <v>0</v>
      </c>
      <c r="O1209" s="7">
        <f>'прил.5'!P1112</f>
        <v>0</v>
      </c>
      <c r="P1209" s="36">
        <f t="shared" si="249"/>
        <v>0</v>
      </c>
      <c r="Q1209" s="7">
        <f>'прил.5'!R1112</f>
        <v>0</v>
      </c>
      <c r="R1209" s="36">
        <f t="shared" si="246"/>
        <v>0</v>
      </c>
    </row>
    <row r="1210" spans="1:18" ht="12.75" hidden="1">
      <c r="A1210" s="62" t="str">
        <f ca="1">IF(ISERROR(MATCH(E1210,Код_КВР,0)),"",INDIRECT(ADDRESS(MATCH(E1210,Код_КВР,0)+1,2,,,"КВР")))</f>
        <v>Субсидии автономным учреждениям</v>
      </c>
      <c r="B1210" s="46" t="s">
        <v>89</v>
      </c>
      <c r="C1210" s="8" t="s">
        <v>230</v>
      </c>
      <c r="D1210" s="1" t="s">
        <v>224</v>
      </c>
      <c r="E1210" s="115">
        <v>620</v>
      </c>
      <c r="F1210" s="7">
        <f>F1211</f>
        <v>0</v>
      </c>
      <c r="G1210" s="7">
        <f>G1211</f>
        <v>0</v>
      </c>
      <c r="H1210" s="36">
        <f t="shared" si="248"/>
        <v>0</v>
      </c>
      <c r="I1210" s="7">
        <f>I1211</f>
        <v>0</v>
      </c>
      <c r="J1210" s="36">
        <f t="shared" si="245"/>
        <v>0</v>
      </c>
      <c r="K1210" s="7">
        <f>K1211</f>
        <v>0</v>
      </c>
      <c r="L1210" s="36">
        <f t="shared" si="254"/>
        <v>0</v>
      </c>
      <c r="M1210" s="7">
        <f>M1211</f>
        <v>0</v>
      </c>
      <c r="N1210" s="36">
        <f t="shared" si="255"/>
        <v>0</v>
      </c>
      <c r="O1210" s="7">
        <f>O1211</f>
        <v>0</v>
      </c>
      <c r="P1210" s="36">
        <f t="shared" si="249"/>
        <v>0</v>
      </c>
      <c r="Q1210" s="7">
        <f>Q1211</f>
        <v>0</v>
      </c>
      <c r="R1210" s="36">
        <f t="shared" si="246"/>
        <v>0</v>
      </c>
    </row>
    <row r="1211" spans="1:18" ht="12.75" hidden="1">
      <c r="A1211" s="62" t="str">
        <f ca="1">IF(ISERROR(MATCH(E1211,Код_КВР,0)),"",INDIRECT(ADDRESS(MATCH(E1211,Код_КВР,0)+1,2,,,"КВР")))</f>
        <v>Субсидии автономным учреждениям на иные цели</v>
      </c>
      <c r="B1211" s="46" t="s">
        <v>89</v>
      </c>
      <c r="C1211" s="8" t="s">
        <v>230</v>
      </c>
      <c r="D1211" s="1" t="s">
        <v>224</v>
      </c>
      <c r="E1211" s="115">
        <v>622</v>
      </c>
      <c r="F1211" s="7">
        <f>'прил.5'!G1114</f>
        <v>0</v>
      </c>
      <c r="G1211" s="7">
        <f>'прил.5'!H1114</f>
        <v>0</v>
      </c>
      <c r="H1211" s="36">
        <f t="shared" si="248"/>
        <v>0</v>
      </c>
      <c r="I1211" s="7">
        <f>'прил.5'!J1114</f>
        <v>0</v>
      </c>
      <c r="J1211" s="36">
        <f t="shared" si="245"/>
        <v>0</v>
      </c>
      <c r="K1211" s="7">
        <f>'прил.5'!L1114</f>
        <v>0</v>
      </c>
      <c r="L1211" s="36">
        <f t="shared" si="254"/>
        <v>0</v>
      </c>
      <c r="M1211" s="7">
        <f>'прил.5'!N1114</f>
        <v>0</v>
      </c>
      <c r="N1211" s="36">
        <f t="shared" si="255"/>
        <v>0</v>
      </c>
      <c r="O1211" s="7">
        <f>'прил.5'!P1114</f>
        <v>0</v>
      </c>
      <c r="P1211" s="36">
        <f t="shared" si="249"/>
        <v>0</v>
      </c>
      <c r="Q1211" s="7">
        <f>'прил.5'!R1114</f>
        <v>0</v>
      </c>
      <c r="R1211" s="36">
        <f t="shared" si="246"/>
        <v>0</v>
      </c>
    </row>
    <row r="1212" spans="1:18" ht="12.75">
      <c r="A1212" s="62" t="str">
        <f ca="1">IF(ISERROR(MATCH(B1212,Код_КЦСР,0)),"",INDIRECT(ADDRESS(MATCH(B1212,Код_КЦСР,0)+1,2,,,"КЦСР")))</f>
        <v>Установка распашных решеток на окнах зданий</v>
      </c>
      <c r="B1212" s="46" t="s">
        <v>105</v>
      </c>
      <c r="C1212" s="8"/>
      <c r="D1212" s="1"/>
      <c r="E1212" s="115"/>
      <c r="F1212" s="7">
        <f aca="true" t="shared" si="256" ref="F1212:Q1214">F1213</f>
        <v>105.4</v>
      </c>
      <c r="G1212" s="7">
        <f t="shared" si="256"/>
        <v>0</v>
      </c>
      <c r="H1212" s="36">
        <f t="shared" si="248"/>
        <v>105.4</v>
      </c>
      <c r="I1212" s="7">
        <f t="shared" si="256"/>
        <v>0</v>
      </c>
      <c r="J1212" s="36">
        <f t="shared" si="245"/>
        <v>105.4</v>
      </c>
      <c r="K1212" s="7">
        <f t="shared" si="256"/>
        <v>0</v>
      </c>
      <c r="L1212" s="36">
        <f t="shared" si="254"/>
        <v>105.4</v>
      </c>
      <c r="M1212" s="7">
        <f t="shared" si="256"/>
        <v>0</v>
      </c>
      <c r="N1212" s="36">
        <f t="shared" si="255"/>
        <v>105.4</v>
      </c>
      <c r="O1212" s="7">
        <f t="shared" si="256"/>
        <v>0</v>
      </c>
      <c r="P1212" s="36">
        <f t="shared" si="249"/>
        <v>105.4</v>
      </c>
      <c r="Q1212" s="7">
        <f t="shared" si="256"/>
        <v>0</v>
      </c>
      <c r="R1212" s="36">
        <f t="shared" si="246"/>
        <v>105.4</v>
      </c>
    </row>
    <row r="1213" spans="1:18" ht="12.75">
      <c r="A1213" s="62" t="str">
        <f ca="1">IF(ISERROR(MATCH(C1213,Код_Раздел,0)),"",INDIRECT(ADDRESS(MATCH(C1213,Код_Раздел,0)+1,2,,,"Раздел")))</f>
        <v>Культура, кинематография</v>
      </c>
      <c r="B1213" s="46" t="s">
        <v>105</v>
      </c>
      <c r="C1213" s="8" t="s">
        <v>230</v>
      </c>
      <c r="D1213" s="1"/>
      <c r="E1213" s="115"/>
      <c r="F1213" s="7">
        <f t="shared" si="256"/>
        <v>105.4</v>
      </c>
      <c r="G1213" s="7">
        <f t="shared" si="256"/>
        <v>0</v>
      </c>
      <c r="H1213" s="36">
        <f t="shared" si="248"/>
        <v>105.4</v>
      </c>
      <c r="I1213" s="7">
        <f t="shared" si="256"/>
        <v>0</v>
      </c>
      <c r="J1213" s="36">
        <f t="shared" si="245"/>
        <v>105.4</v>
      </c>
      <c r="K1213" s="7">
        <f t="shared" si="256"/>
        <v>0</v>
      </c>
      <c r="L1213" s="36">
        <f t="shared" si="254"/>
        <v>105.4</v>
      </c>
      <c r="M1213" s="7">
        <f t="shared" si="256"/>
        <v>0</v>
      </c>
      <c r="N1213" s="36">
        <f t="shared" si="255"/>
        <v>105.4</v>
      </c>
      <c r="O1213" s="7">
        <f t="shared" si="256"/>
        <v>0</v>
      </c>
      <c r="P1213" s="36">
        <f t="shared" si="249"/>
        <v>105.4</v>
      </c>
      <c r="Q1213" s="7">
        <f t="shared" si="256"/>
        <v>0</v>
      </c>
      <c r="R1213" s="36">
        <f t="shared" si="246"/>
        <v>105.4</v>
      </c>
    </row>
    <row r="1214" spans="1:18" ht="12.75">
      <c r="A1214" s="12" t="s">
        <v>171</v>
      </c>
      <c r="B1214" s="46" t="s">
        <v>105</v>
      </c>
      <c r="C1214" s="8" t="s">
        <v>230</v>
      </c>
      <c r="D1214" s="1" t="s">
        <v>224</v>
      </c>
      <c r="E1214" s="115"/>
      <c r="F1214" s="7">
        <f t="shared" si="256"/>
        <v>105.4</v>
      </c>
      <c r="G1214" s="7">
        <f t="shared" si="256"/>
        <v>0</v>
      </c>
      <c r="H1214" s="36">
        <f t="shared" si="248"/>
        <v>105.4</v>
      </c>
      <c r="I1214" s="7">
        <f t="shared" si="256"/>
        <v>0</v>
      </c>
      <c r="J1214" s="36">
        <f t="shared" si="245"/>
        <v>105.4</v>
      </c>
      <c r="K1214" s="7">
        <f t="shared" si="256"/>
        <v>0</v>
      </c>
      <c r="L1214" s="36">
        <f t="shared" si="254"/>
        <v>105.4</v>
      </c>
      <c r="M1214" s="7">
        <f t="shared" si="256"/>
        <v>0</v>
      </c>
      <c r="N1214" s="36">
        <f t="shared" si="255"/>
        <v>105.4</v>
      </c>
      <c r="O1214" s="7">
        <f t="shared" si="256"/>
        <v>0</v>
      </c>
      <c r="P1214" s="36">
        <f t="shared" si="249"/>
        <v>105.4</v>
      </c>
      <c r="Q1214" s="7">
        <f t="shared" si="256"/>
        <v>0</v>
      </c>
      <c r="R1214" s="36">
        <f t="shared" si="246"/>
        <v>105.4</v>
      </c>
    </row>
    <row r="1215" spans="1:18" ht="33">
      <c r="A1215" s="62" t="str">
        <f ca="1">IF(ISERROR(MATCH(E1215,Код_КВР,0)),"",INDIRECT(ADDRESS(MATCH(E1215,Код_КВР,0)+1,2,,,"КВР")))</f>
        <v>Предоставление субсидий бюджетным, автономным учреждениям и иным некоммерческим организациям</v>
      </c>
      <c r="B1215" s="46" t="s">
        <v>105</v>
      </c>
      <c r="C1215" s="8" t="s">
        <v>230</v>
      </c>
      <c r="D1215" s="1" t="s">
        <v>224</v>
      </c>
      <c r="E1215" s="115">
        <v>600</v>
      </c>
      <c r="F1215" s="7">
        <f>F1216+F1218</f>
        <v>105.4</v>
      </c>
      <c r="G1215" s="7">
        <f>G1216+G1218</f>
        <v>0</v>
      </c>
      <c r="H1215" s="36">
        <f t="shared" si="248"/>
        <v>105.4</v>
      </c>
      <c r="I1215" s="7">
        <f>I1216+I1218</f>
        <v>0</v>
      </c>
      <c r="J1215" s="36">
        <f t="shared" si="245"/>
        <v>105.4</v>
      </c>
      <c r="K1215" s="7">
        <f>K1216+K1218</f>
        <v>0</v>
      </c>
      <c r="L1215" s="36">
        <f t="shared" si="254"/>
        <v>105.4</v>
      </c>
      <c r="M1215" s="7">
        <f>M1216+M1218</f>
        <v>0</v>
      </c>
      <c r="N1215" s="36">
        <f t="shared" si="255"/>
        <v>105.4</v>
      </c>
      <c r="O1215" s="7">
        <f>O1216+O1218</f>
        <v>0</v>
      </c>
      <c r="P1215" s="36">
        <f t="shared" si="249"/>
        <v>105.4</v>
      </c>
      <c r="Q1215" s="7">
        <f>Q1216+Q1218</f>
        <v>0</v>
      </c>
      <c r="R1215" s="36">
        <f t="shared" si="246"/>
        <v>105.4</v>
      </c>
    </row>
    <row r="1216" spans="1:18" ht="12.75">
      <c r="A1216" s="62" t="str">
        <f ca="1">IF(ISERROR(MATCH(E1216,Код_КВР,0)),"",INDIRECT(ADDRESS(MATCH(E1216,Код_КВР,0)+1,2,,,"КВР")))</f>
        <v>Субсидии бюджетным учреждениям</v>
      </c>
      <c r="B1216" s="46" t="s">
        <v>105</v>
      </c>
      <c r="C1216" s="8" t="s">
        <v>230</v>
      </c>
      <c r="D1216" s="1" t="s">
        <v>224</v>
      </c>
      <c r="E1216" s="115">
        <v>610</v>
      </c>
      <c r="F1216" s="7">
        <f>F1217</f>
        <v>55.4</v>
      </c>
      <c r="G1216" s="7">
        <f>G1217</f>
        <v>0</v>
      </c>
      <c r="H1216" s="36">
        <f t="shared" si="248"/>
        <v>55.4</v>
      </c>
      <c r="I1216" s="7">
        <f>I1217</f>
        <v>0</v>
      </c>
      <c r="J1216" s="36">
        <f t="shared" si="245"/>
        <v>55.4</v>
      </c>
      <c r="K1216" s="7">
        <f>K1217</f>
        <v>0</v>
      </c>
      <c r="L1216" s="36">
        <f t="shared" si="254"/>
        <v>55.4</v>
      </c>
      <c r="M1216" s="7">
        <f>M1217</f>
        <v>0</v>
      </c>
      <c r="N1216" s="36">
        <f t="shared" si="255"/>
        <v>55.4</v>
      </c>
      <c r="O1216" s="7">
        <f>O1217</f>
        <v>0</v>
      </c>
      <c r="P1216" s="36">
        <f t="shared" si="249"/>
        <v>55.4</v>
      </c>
      <c r="Q1216" s="7">
        <f>Q1217</f>
        <v>0</v>
      </c>
      <c r="R1216" s="36">
        <f t="shared" si="246"/>
        <v>55.4</v>
      </c>
    </row>
    <row r="1217" spans="1:18" ht="12.75">
      <c r="A1217" s="62" t="str">
        <f ca="1">IF(ISERROR(MATCH(E1217,Код_КВР,0)),"",INDIRECT(ADDRESS(MATCH(E1217,Код_КВР,0)+1,2,,,"КВР")))</f>
        <v>Субсидии бюджетным учреждениям на иные цели</v>
      </c>
      <c r="B1217" s="46" t="s">
        <v>105</v>
      </c>
      <c r="C1217" s="8" t="s">
        <v>230</v>
      </c>
      <c r="D1217" s="1" t="s">
        <v>224</v>
      </c>
      <c r="E1217" s="115">
        <v>612</v>
      </c>
      <c r="F1217" s="7">
        <f>'прил.5'!G1118</f>
        <v>55.4</v>
      </c>
      <c r="G1217" s="7">
        <f>'прил.5'!H1118</f>
        <v>0</v>
      </c>
      <c r="H1217" s="36">
        <f t="shared" si="248"/>
        <v>55.4</v>
      </c>
      <c r="I1217" s="7">
        <f>'прил.5'!J1118</f>
        <v>0</v>
      </c>
      <c r="J1217" s="36">
        <f t="shared" si="245"/>
        <v>55.4</v>
      </c>
      <c r="K1217" s="7">
        <f>'прил.5'!L1118</f>
        <v>0</v>
      </c>
      <c r="L1217" s="36">
        <f t="shared" si="254"/>
        <v>55.4</v>
      </c>
      <c r="M1217" s="7">
        <f>'прил.5'!N1118</f>
        <v>0</v>
      </c>
      <c r="N1217" s="36">
        <f t="shared" si="255"/>
        <v>55.4</v>
      </c>
      <c r="O1217" s="7">
        <f>'прил.5'!P1118</f>
        <v>0</v>
      </c>
      <c r="P1217" s="36">
        <f t="shared" si="249"/>
        <v>55.4</v>
      </c>
      <c r="Q1217" s="7">
        <f>'прил.5'!R1118</f>
        <v>0</v>
      </c>
      <c r="R1217" s="36">
        <f t="shared" si="246"/>
        <v>55.4</v>
      </c>
    </row>
    <row r="1218" spans="1:18" ht="12.75">
      <c r="A1218" s="62" t="str">
        <f ca="1">IF(ISERROR(MATCH(E1218,Код_КВР,0)),"",INDIRECT(ADDRESS(MATCH(E1218,Код_КВР,0)+1,2,,,"КВР")))</f>
        <v>Субсидии автономным учреждениям</v>
      </c>
      <c r="B1218" s="46" t="s">
        <v>105</v>
      </c>
      <c r="C1218" s="8" t="s">
        <v>230</v>
      </c>
      <c r="D1218" s="1" t="s">
        <v>224</v>
      </c>
      <c r="E1218" s="115">
        <v>620</v>
      </c>
      <c r="F1218" s="7">
        <f>F1219</f>
        <v>50</v>
      </c>
      <c r="G1218" s="7">
        <f>G1219</f>
        <v>0</v>
      </c>
      <c r="H1218" s="36">
        <f t="shared" si="248"/>
        <v>50</v>
      </c>
      <c r="I1218" s="7">
        <f>I1219</f>
        <v>0</v>
      </c>
      <c r="J1218" s="36">
        <f t="shared" si="245"/>
        <v>50</v>
      </c>
      <c r="K1218" s="7">
        <f>K1219</f>
        <v>0</v>
      </c>
      <c r="L1218" s="36">
        <f t="shared" si="254"/>
        <v>50</v>
      </c>
      <c r="M1218" s="7">
        <f>M1219</f>
        <v>0</v>
      </c>
      <c r="N1218" s="36">
        <f t="shared" si="255"/>
        <v>50</v>
      </c>
      <c r="O1218" s="7">
        <f>O1219</f>
        <v>0</v>
      </c>
      <c r="P1218" s="36">
        <f t="shared" si="249"/>
        <v>50</v>
      </c>
      <c r="Q1218" s="7">
        <f>Q1219</f>
        <v>0</v>
      </c>
      <c r="R1218" s="36">
        <f t="shared" si="246"/>
        <v>50</v>
      </c>
    </row>
    <row r="1219" spans="1:18" ht="12.75">
      <c r="A1219" s="62" t="str">
        <f ca="1">IF(ISERROR(MATCH(E1219,Код_КВР,0)),"",INDIRECT(ADDRESS(MATCH(E1219,Код_КВР,0)+1,2,,,"КВР")))</f>
        <v>Субсидии автономным учреждениям на иные цели</v>
      </c>
      <c r="B1219" s="46" t="s">
        <v>105</v>
      </c>
      <c r="C1219" s="8" t="s">
        <v>230</v>
      </c>
      <c r="D1219" s="1" t="s">
        <v>224</v>
      </c>
      <c r="E1219" s="115">
        <v>622</v>
      </c>
      <c r="F1219" s="7">
        <f>'прил.5'!G1120</f>
        <v>50</v>
      </c>
      <c r="G1219" s="7">
        <f>'прил.5'!H1120</f>
        <v>0</v>
      </c>
      <c r="H1219" s="36">
        <f t="shared" si="248"/>
        <v>50</v>
      </c>
      <c r="I1219" s="7">
        <f>'прил.5'!J1120</f>
        <v>0</v>
      </c>
      <c r="J1219" s="36">
        <f t="shared" si="245"/>
        <v>50</v>
      </c>
      <c r="K1219" s="7">
        <f>'прил.5'!L1120</f>
        <v>0</v>
      </c>
      <c r="L1219" s="36">
        <f t="shared" si="254"/>
        <v>50</v>
      </c>
      <c r="M1219" s="7">
        <f>'прил.5'!N1120</f>
        <v>0</v>
      </c>
      <c r="N1219" s="36">
        <f t="shared" si="255"/>
        <v>50</v>
      </c>
      <c r="O1219" s="7">
        <f>'прил.5'!P1120</f>
        <v>0</v>
      </c>
      <c r="P1219" s="36">
        <f t="shared" si="249"/>
        <v>50</v>
      </c>
      <c r="Q1219" s="7">
        <f>'прил.5'!R1120</f>
        <v>0</v>
      </c>
      <c r="R1219" s="36">
        <f t="shared" si="246"/>
        <v>50</v>
      </c>
    </row>
    <row r="1220" spans="1:18" ht="33">
      <c r="A1220" s="62" t="str">
        <f ca="1">IF(ISERROR(MATCH(B1220,Код_КЦСР,0)),"",INDIRECT(ADDRESS(MATCH(B1220,Код_КЦСР,0)+1,2,,,"КЦСР")))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220" s="46" t="s">
        <v>107</v>
      </c>
      <c r="C1220" s="8"/>
      <c r="D1220" s="1"/>
      <c r="E1220" s="115"/>
      <c r="F1220" s="7">
        <f>F1221+F1232+F1238+F1243</f>
        <v>49441.6</v>
      </c>
      <c r="G1220" s="7">
        <f>G1221+G1232+G1238+G1243</f>
        <v>0</v>
      </c>
      <c r="H1220" s="36">
        <f t="shared" si="248"/>
        <v>49441.6</v>
      </c>
      <c r="I1220" s="7">
        <f>I1221+I1232+I1238+I1243</f>
        <v>0</v>
      </c>
      <c r="J1220" s="36">
        <f t="shared" si="245"/>
        <v>49441.6</v>
      </c>
      <c r="K1220" s="7">
        <f>K1221+K1232+K1238+K1243</f>
        <v>-3424</v>
      </c>
      <c r="L1220" s="36">
        <f t="shared" si="254"/>
        <v>46017.6</v>
      </c>
      <c r="M1220" s="7">
        <f>M1221+M1232+M1238+M1243</f>
        <v>0</v>
      </c>
      <c r="N1220" s="36">
        <f t="shared" si="255"/>
        <v>46017.6</v>
      </c>
      <c r="O1220" s="7">
        <f>O1221+O1232+O1238+O1243</f>
        <v>0</v>
      </c>
      <c r="P1220" s="36">
        <f t="shared" si="249"/>
        <v>46017.6</v>
      </c>
      <c r="Q1220" s="7">
        <f>Q1221+Q1232+Q1238+Q1243</f>
        <v>80.1</v>
      </c>
      <c r="R1220" s="36">
        <f t="shared" si="246"/>
        <v>46097.7</v>
      </c>
    </row>
    <row r="1221" spans="1:18" ht="57" customHeight="1">
      <c r="A1221" s="62" t="str">
        <f ca="1">IF(ISERROR(MATCH(B1221,Код_КЦСР,0)),"",INDIRECT(ADDRESS(MATCH(B1221,Код_КЦСР,0)+1,2,,,"КЦСР")))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221" s="46" t="s">
        <v>109</v>
      </c>
      <c r="C1221" s="8"/>
      <c r="D1221" s="1"/>
      <c r="E1221" s="115"/>
      <c r="F1221" s="7">
        <f>F1222</f>
        <v>881.7</v>
      </c>
      <c r="G1221" s="7">
        <f>G1222</f>
        <v>0</v>
      </c>
      <c r="H1221" s="36">
        <f t="shared" si="248"/>
        <v>881.7</v>
      </c>
      <c r="I1221" s="7">
        <f>I1222</f>
        <v>-653.3000000000001</v>
      </c>
      <c r="J1221" s="36">
        <f t="shared" si="245"/>
        <v>228.39999999999998</v>
      </c>
      <c r="K1221" s="7">
        <f>K1222</f>
        <v>-44</v>
      </c>
      <c r="L1221" s="36">
        <f t="shared" si="254"/>
        <v>184.39999999999998</v>
      </c>
      <c r="M1221" s="7">
        <f>M1222</f>
        <v>0</v>
      </c>
      <c r="N1221" s="36">
        <f t="shared" si="255"/>
        <v>184.39999999999998</v>
      </c>
      <c r="O1221" s="7">
        <f>O1222</f>
        <v>0</v>
      </c>
      <c r="P1221" s="36">
        <f t="shared" si="249"/>
        <v>184.39999999999998</v>
      </c>
      <c r="Q1221" s="7">
        <f>Q1222</f>
        <v>0</v>
      </c>
      <c r="R1221" s="36">
        <f t="shared" si="246"/>
        <v>184.39999999999998</v>
      </c>
    </row>
    <row r="1222" spans="1:18" ht="12.75">
      <c r="A1222" s="62" t="str">
        <f ca="1">IF(ISERROR(MATCH(C1222,Код_Раздел,0)),"",INDIRECT(ADDRESS(MATCH(C1222,Код_Раздел,0)+1,2,,,"Раздел")))</f>
        <v>Национальная безопасность и правоохранительная  деятельность</v>
      </c>
      <c r="B1222" s="46" t="s">
        <v>109</v>
      </c>
      <c r="C1222" s="8" t="s">
        <v>223</v>
      </c>
      <c r="D1222" s="1"/>
      <c r="E1222" s="115"/>
      <c r="F1222" s="7">
        <f>F1223</f>
        <v>881.7</v>
      </c>
      <c r="G1222" s="7">
        <f>G1223</f>
        <v>0</v>
      </c>
      <c r="H1222" s="36">
        <f t="shared" si="248"/>
        <v>881.7</v>
      </c>
      <c r="I1222" s="7">
        <f>I1223</f>
        <v>-653.3000000000001</v>
      </c>
      <c r="J1222" s="36">
        <f t="shared" si="245"/>
        <v>228.39999999999998</v>
      </c>
      <c r="K1222" s="7">
        <f>K1223</f>
        <v>-44</v>
      </c>
      <c r="L1222" s="36">
        <f t="shared" si="254"/>
        <v>184.39999999999998</v>
      </c>
      <c r="M1222" s="7">
        <f>M1223</f>
        <v>0</v>
      </c>
      <c r="N1222" s="36">
        <f t="shared" si="255"/>
        <v>184.39999999999998</v>
      </c>
      <c r="O1222" s="7">
        <f>O1223</f>
        <v>0</v>
      </c>
      <c r="P1222" s="36">
        <f t="shared" si="249"/>
        <v>184.39999999999998</v>
      </c>
      <c r="Q1222" s="7">
        <f>Q1223</f>
        <v>0</v>
      </c>
      <c r="R1222" s="36">
        <f t="shared" si="246"/>
        <v>184.39999999999998</v>
      </c>
    </row>
    <row r="1223" spans="1:18" ht="33">
      <c r="A1223" s="12" t="s">
        <v>270</v>
      </c>
      <c r="B1223" s="46" t="s">
        <v>109</v>
      </c>
      <c r="C1223" s="8" t="s">
        <v>223</v>
      </c>
      <c r="D1223" s="1" t="s">
        <v>227</v>
      </c>
      <c r="E1223" s="115"/>
      <c r="F1223" s="7">
        <f>F1224+F1226</f>
        <v>881.7</v>
      </c>
      <c r="G1223" s="7">
        <f>G1224+G1226</f>
        <v>0</v>
      </c>
      <c r="H1223" s="36">
        <f t="shared" si="248"/>
        <v>881.7</v>
      </c>
      <c r="I1223" s="7">
        <f>I1224+I1226+I1229</f>
        <v>-653.3000000000001</v>
      </c>
      <c r="J1223" s="36">
        <f t="shared" si="245"/>
        <v>228.39999999999998</v>
      </c>
      <c r="K1223" s="7">
        <f>K1224+K1226+K1229</f>
        <v>-44</v>
      </c>
      <c r="L1223" s="36">
        <f t="shared" si="254"/>
        <v>184.39999999999998</v>
      </c>
      <c r="M1223" s="7">
        <f>M1224+M1226+M1229</f>
        <v>0</v>
      </c>
      <c r="N1223" s="36">
        <f t="shared" si="255"/>
        <v>184.39999999999998</v>
      </c>
      <c r="O1223" s="7">
        <f>O1224+O1226+O1229</f>
        <v>0</v>
      </c>
      <c r="P1223" s="36">
        <f t="shared" si="249"/>
        <v>184.39999999999998</v>
      </c>
      <c r="Q1223" s="7">
        <f>Q1224+Q1226+Q1229</f>
        <v>0</v>
      </c>
      <c r="R1223" s="36">
        <f aca="true" t="shared" si="257" ref="R1223:R1286">P1223+Q1223</f>
        <v>184.39999999999998</v>
      </c>
    </row>
    <row r="1224" spans="1:18" ht="33" hidden="1">
      <c r="A1224" s="62" t="str">
        <f aca="true" t="shared" si="258" ref="A1224:A1231">IF(ISERROR(MATCH(E1224,Код_КВР,0)),"",INDIRECT(ADDRESS(MATCH(E1224,Код_КВР,0)+1,2,,,"КВР")))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4" s="46" t="s">
        <v>109</v>
      </c>
      <c r="C1224" s="8" t="s">
        <v>223</v>
      </c>
      <c r="D1224" s="1" t="s">
        <v>227</v>
      </c>
      <c r="E1224" s="115">
        <v>100</v>
      </c>
      <c r="F1224" s="7">
        <f>F1225</f>
        <v>555</v>
      </c>
      <c r="G1224" s="7">
        <f>G1225</f>
        <v>0</v>
      </c>
      <c r="H1224" s="36">
        <f t="shared" si="248"/>
        <v>555</v>
      </c>
      <c r="I1224" s="7">
        <f>I1225</f>
        <v>-555</v>
      </c>
      <c r="J1224" s="36">
        <f t="shared" si="245"/>
        <v>0</v>
      </c>
      <c r="K1224" s="7">
        <f>K1225</f>
        <v>0</v>
      </c>
      <c r="L1224" s="36">
        <f t="shared" si="254"/>
        <v>0</v>
      </c>
      <c r="M1224" s="7">
        <f>M1225</f>
        <v>0</v>
      </c>
      <c r="N1224" s="36">
        <f t="shared" si="255"/>
        <v>0</v>
      </c>
      <c r="O1224" s="7">
        <f>O1225</f>
        <v>0</v>
      </c>
      <c r="P1224" s="36">
        <f t="shared" si="249"/>
        <v>0</v>
      </c>
      <c r="Q1224" s="7">
        <f>Q1225</f>
        <v>0</v>
      </c>
      <c r="R1224" s="36">
        <f t="shared" si="257"/>
        <v>0</v>
      </c>
    </row>
    <row r="1225" spans="1:18" ht="12.75" hidden="1">
      <c r="A1225" s="62" t="str">
        <f ca="1" t="shared" si="258"/>
        <v>Расходы на выплаты персоналу казенных учреждений</v>
      </c>
      <c r="B1225" s="46" t="s">
        <v>109</v>
      </c>
      <c r="C1225" s="8" t="s">
        <v>223</v>
      </c>
      <c r="D1225" s="1" t="s">
        <v>227</v>
      </c>
      <c r="E1225" s="115">
        <v>110</v>
      </c>
      <c r="F1225" s="7">
        <f>'прил.5'!G188</f>
        <v>555</v>
      </c>
      <c r="G1225" s="7">
        <f>'прил.5'!H188</f>
        <v>0</v>
      </c>
      <c r="H1225" s="36">
        <f t="shared" si="248"/>
        <v>555</v>
      </c>
      <c r="I1225" s="7">
        <f>'прил.5'!J188</f>
        <v>-555</v>
      </c>
      <c r="J1225" s="36">
        <f t="shared" si="245"/>
        <v>0</v>
      </c>
      <c r="K1225" s="7">
        <f>'прил.5'!L188</f>
        <v>0</v>
      </c>
      <c r="L1225" s="36">
        <f t="shared" si="254"/>
        <v>0</v>
      </c>
      <c r="M1225" s="7">
        <f>'прил.5'!N188</f>
        <v>0</v>
      </c>
      <c r="N1225" s="36">
        <f t="shared" si="255"/>
        <v>0</v>
      </c>
      <c r="O1225" s="7">
        <f>'прил.5'!P188</f>
        <v>0</v>
      </c>
      <c r="P1225" s="36">
        <f t="shared" si="249"/>
        <v>0</v>
      </c>
      <c r="Q1225" s="7">
        <f>'прил.5'!R188</f>
        <v>0</v>
      </c>
      <c r="R1225" s="36">
        <f t="shared" si="257"/>
        <v>0</v>
      </c>
    </row>
    <row r="1226" spans="1:18" ht="12.75" hidden="1">
      <c r="A1226" s="62" t="str">
        <f ca="1" t="shared" si="258"/>
        <v>Закупка товаров, работ и услуг для муниципальных нужд</v>
      </c>
      <c r="B1226" s="46" t="s">
        <v>109</v>
      </c>
      <c r="C1226" s="8" t="s">
        <v>223</v>
      </c>
      <c r="D1226" s="1" t="s">
        <v>227</v>
      </c>
      <c r="E1226" s="115">
        <v>200</v>
      </c>
      <c r="F1226" s="7">
        <f>F1227</f>
        <v>326.7</v>
      </c>
      <c r="G1226" s="7">
        <f>G1227</f>
        <v>0</v>
      </c>
      <c r="H1226" s="36">
        <f t="shared" si="248"/>
        <v>326.7</v>
      </c>
      <c r="I1226" s="7">
        <f>I1227</f>
        <v>-326.7</v>
      </c>
      <c r="J1226" s="36">
        <f aca="true" t="shared" si="259" ref="J1226:J1231">H1226+I1226</f>
        <v>0</v>
      </c>
      <c r="K1226" s="7">
        <f>K1227</f>
        <v>0</v>
      </c>
      <c r="L1226" s="36">
        <f t="shared" si="254"/>
        <v>0</v>
      </c>
      <c r="M1226" s="7">
        <f>M1227</f>
        <v>0</v>
      </c>
      <c r="N1226" s="36">
        <f t="shared" si="255"/>
        <v>0</v>
      </c>
      <c r="O1226" s="7">
        <f>O1227</f>
        <v>0</v>
      </c>
      <c r="P1226" s="36">
        <f t="shared" si="249"/>
        <v>0</v>
      </c>
      <c r="Q1226" s="7">
        <f>Q1227</f>
        <v>0</v>
      </c>
      <c r="R1226" s="36">
        <f t="shared" si="257"/>
        <v>0</v>
      </c>
    </row>
    <row r="1227" spans="1:18" ht="33" hidden="1">
      <c r="A1227" s="62" t="str">
        <f ca="1" t="shared" si="258"/>
        <v>Иные закупки товаров, работ и услуг для обеспечения муниципальных нужд</v>
      </c>
      <c r="B1227" s="46" t="s">
        <v>109</v>
      </c>
      <c r="C1227" s="8" t="s">
        <v>223</v>
      </c>
      <c r="D1227" s="1" t="s">
        <v>227</v>
      </c>
      <c r="E1227" s="115">
        <v>240</v>
      </c>
      <c r="F1227" s="7">
        <f>F1228</f>
        <v>326.7</v>
      </c>
      <c r="G1227" s="7">
        <f>G1228</f>
        <v>0</v>
      </c>
      <c r="H1227" s="36">
        <f t="shared" si="248"/>
        <v>326.7</v>
      </c>
      <c r="I1227" s="7">
        <f>I1228</f>
        <v>-326.7</v>
      </c>
      <c r="J1227" s="36">
        <f t="shared" si="259"/>
        <v>0</v>
      </c>
      <c r="K1227" s="7">
        <f>K1228</f>
        <v>0</v>
      </c>
      <c r="L1227" s="36">
        <f t="shared" si="254"/>
        <v>0</v>
      </c>
      <c r="M1227" s="7">
        <f>M1228</f>
        <v>0</v>
      </c>
      <c r="N1227" s="36">
        <f t="shared" si="255"/>
        <v>0</v>
      </c>
      <c r="O1227" s="7">
        <f>O1228</f>
        <v>0</v>
      </c>
      <c r="P1227" s="36">
        <f t="shared" si="249"/>
        <v>0</v>
      </c>
      <c r="Q1227" s="7">
        <f>Q1228</f>
        <v>0</v>
      </c>
      <c r="R1227" s="36">
        <f t="shared" si="257"/>
        <v>0</v>
      </c>
    </row>
    <row r="1228" spans="1:18" ht="33" hidden="1">
      <c r="A1228" s="62" t="str">
        <f ca="1" t="shared" si="258"/>
        <v xml:space="preserve">Прочая закупка товаров, работ и услуг для обеспечения муниципальных нужд         </v>
      </c>
      <c r="B1228" s="46" t="s">
        <v>109</v>
      </c>
      <c r="C1228" s="8" t="s">
        <v>223</v>
      </c>
      <c r="D1228" s="1" t="s">
        <v>227</v>
      </c>
      <c r="E1228" s="115">
        <v>244</v>
      </c>
      <c r="F1228" s="7">
        <f>'прил.5'!G191</f>
        <v>326.7</v>
      </c>
      <c r="G1228" s="7">
        <f>'прил.5'!H191</f>
        <v>0</v>
      </c>
      <c r="H1228" s="36">
        <f t="shared" si="248"/>
        <v>326.7</v>
      </c>
      <c r="I1228" s="7">
        <f>'прил.5'!J191</f>
        <v>-326.7</v>
      </c>
      <c r="J1228" s="36">
        <f t="shared" si="259"/>
        <v>0</v>
      </c>
      <c r="K1228" s="7">
        <f>'прил.5'!L191</f>
        <v>0</v>
      </c>
      <c r="L1228" s="36">
        <f t="shared" si="254"/>
        <v>0</v>
      </c>
      <c r="M1228" s="7">
        <f>'прил.5'!N191</f>
        <v>0</v>
      </c>
      <c r="N1228" s="36">
        <f t="shared" si="255"/>
        <v>0</v>
      </c>
      <c r="O1228" s="7">
        <f>'прил.5'!P191</f>
        <v>0</v>
      </c>
      <c r="P1228" s="36">
        <f t="shared" si="249"/>
        <v>0</v>
      </c>
      <c r="Q1228" s="7">
        <f>'прил.5'!R191</f>
        <v>0</v>
      </c>
      <c r="R1228" s="36">
        <f t="shared" si="257"/>
        <v>0</v>
      </c>
    </row>
    <row r="1229" spans="1:18" ht="33">
      <c r="A1229" s="62" t="str">
        <f ca="1" t="shared" si="258"/>
        <v>Предоставление субсидий бюджетным, автономным учреждениям и иным некоммерческим организациям</v>
      </c>
      <c r="B1229" s="46" t="s">
        <v>109</v>
      </c>
      <c r="C1229" s="8" t="s">
        <v>223</v>
      </c>
      <c r="D1229" s="1" t="s">
        <v>227</v>
      </c>
      <c r="E1229" s="115">
        <v>600</v>
      </c>
      <c r="F1229" s="7"/>
      <c r="G1229" s="7"/>
      <c r="H1229" s="36"/>
      <c r="I1229" s="7">
        <f>I1230</f>
        <v>228.4</v>
      </c>
      <c r="J1229" s="36">
        <f t="shared" si="259"/>
        <v>228.4</v>
      </c>
      <c r="K1229" s="7">
        <f>K1230</f>
        <v>-44</v>
      </c>
      <c r="L1229" s="36">
        <f t="shared" si="254"/>
        <v>184.4</v>
      </c>
      <c r="M1229" s="7">
        <f>M1230</f>
        <v>0</v>
      </c>
      <c r="N1229" s="36">
        <f t="shared" si="255"/>
        <v>184.4</v>
      </c>
      <c r="O1229" s="7">
        <f>O1230</f>
        <v>0</v>
      </c>
      <c r="P1229" s="36">
        <f t="shared" si="249"/>
        <v>184.4</v>
      </c>
      <c r="Q1229" s="7">
        <f>Q1230</f>
        <v>0</v>
      </c>
      <c r="R1229" s="36">
        <f t="shared" si="257"/>
        <v>184.4</v>
      </c>
    </row>
    <row r="1230" spans="1:18" ht="12.75">
      <c r="A1230" s="62" t="str">
        <f ca="1" t="shared" si="258"/>
        <v>Субсидии бюджетным учреждениям</v>
      </c>
      <c r="B1230" s="46" t="s">
        <v>109</v>
      </c>
      <c r="C1230" s="8" t="s">
        <v>223</v>
      </c>
      <c r="D1230" s="1" t="s">
        <v>227</v>
      </c>
      <c r="E1230" s="115">
        <v>610</v>
      </c>
      <c r="F1230" s="7"/>
      <c r="G1230" s="7"/>
      <c r="H1230" s="36"/>
      <c r="I1230" s="7">
        <f>I1231</f>
        <v>228.4</v>
      </c>
      <c r="J1230" s="36">
        <f t="shared" si="259"/>
        <v>228.4</v>
      </c>
      <c r="K1230" s="7">
        <f>K1231</f>
        <v>-44</v>
      </c>
      <c r="L1230" s="36">
        <f t="shared" si="254"/>
        <v>184.4</v>
      </c>
      <c r="M1230" s="7">
        <f>M1231</f>
        <v>0</v>
      </c>
      <c r="N1230" s="36">
        <f t="shared" si="255"/>
        <v>184.4</v>
      </c>
      <c r="O1230" s="7">
        <f>O1231</f>
        <v>0</v>
      </c>
      <c r="P1230" s="36">
        <f t="shared" si="249"/>
        <v>184.4</v>
      </c>
      <c r="Q1230" s="7">
        <f>Q1231</f>
        <v>0</v>
      </c>
      <c r="R1230" s="36">
        <f t="shared" si="257"/>
        <v>184.4</v>
      </c>
    </row>
    <row r="1231" spans="1:18" ht="12.75">
      <c r="A1231" s="62" t="str">
        <f ca="1" t="shared" si="258"/>
        <v>Субсидии бюджетным учреждениям на иные цели</v>
      </c>
      <c r="B1231" s="46" t="s">
        <v>109</v>
      </c>
      <c r="C1231" s="8" t="s">
        <v>223</v>
      </c>
      <c r="D1231" s="1" t="s">
        <v>227</v>
      </c>
      <c r="E1231" s="115">
        <v>612</v>
      </c>
      <c r="F1231" s="7"/>
      <c r="G1231" s="7"/>
      <c r="H1231" s="36"/>
      <c r="I1231" s="7">
        <v>228.4</v>
      </c>
      <c r="J1231" s="36">
        <f t="shared" si="259"/>
        <v>228.4</v>
      </c>
      <c r="K1231" s="7">
        <f>'прил.5'!L186</f>
        <v>-44</v>
      </c>
      <c r="L1231" s="36">
        <f t="shared" si="254"/>
        <v>184.4</v>
      </c>
      <c r="M1231" s="7">
        <f>'прил.5'!N186</f>
        <v>0</v>
      </c>
      <c r="N1231" s="36">
        <f t="shared" si="255"/>
        <v>184.4</v>
      </c>
      <c r="O1231" s="7">
        <f>'прил.5'!P186</f>
        <v>0</v>
      </c>
      <c r="P1231" s="36">
        <f aca="true" t="shared" si="260" ref="P1231:P1294">N1231+O1231</f>
        <v>184.4</v>
      </c>
      <c r="Q1231" s="7">
        <f>'прил.5'!R186</f>
        <v>0</v>
      </c>
      <c r="R1231" s="36">
        <f t="shared" si="257"/>
        <v>184.4</v>
      </c>
    </row>
    <row r="1232" spans="1:18" ht="19.5" customHeight="1">
      <c r="A1232" s="62" t="str">
        <f ca="1">IF(ISERROR(MATCH(B1232,Код_КЦСР,0)),"",INDIRECT(ADDRESS(MATCH(B1232,Код_КЦСР,0)+1,2,,,"КЦСР")))</f>
        <v>Приобретение лицензионного ПО, Крипто ПРО с лицензией СЭД</v>
      </c>
      <c r="B1232" s="46" t="s">
        <v>110</v>
      </c>
      <c r="C1232" s="8"/>
      <c r="D1232" s="1"/>
      <c r="E1232" s="115"/>
      <c r="F1232" s="7">
        <f aca="true" t="shared" si="261" ref="F1232:Q1236">F1233</f>
        <v>354.6</v>
      </c>
      <c r="G1232" s="7">
        <f t="shared" si="261"/>
        <v>0</v>
      </c>
      <c r="H1232" s="36">
        <f t="shared" si="248"/>
        <v>354.6</v>
      </c>
      <c r="I1232" s="7">
        <f t="shared" si="261"/>
        <v>0</v>
      </c>
      <c r="J1232" s="36">
        <f aca="true" t="shared" si="262" ref="J1232:J1295">H1232+I1232</f>
        <v>354.6</v>
      </c>
      <c r="K1232" s="7">
        <f t="shared" si="261"/>
        <v>-169.8</v>
      </c>
      <c r="L1232" s="36">
        <f t="shared" si="254"/>
        <v>184.8</v>
      </c>
      <c r="M1232" s="7">
        <f t="shared" si="261"/>
        <v>0</v>
      </c>
      <c r="N1232" s="36">
        <f t="shared" si="255"/>
        <v>184.8</v>
      </c>
      <c r="O1232" s="7">
        <f t="shared" si="261"/>
        <v>0</v>
      </c>
      <c r="P1232" s="36">
        <f t="shared" si="260"/>
        <v>184.8</v>
      </c>
      <c r="Q1232" s="7">
        <f t="shared" si="261"/>
        <v>0</v>
      </c>
      <c r="R1232" s="36">
        <f t="shared" si="257"/>
        <v>184.8</v>
      </c>
    </row>
    <row r="1233" spans="1:18" ht="12.75">
      <c r="A1233" s="62" t="str">
        <f ca="1">IF(ISERROR(MATCH(C1233,Код_Раздел,0)),"",INDIRECT(ADDRESS(MATCH(C1233,Код_Раздел,0)+1,2,,,"Раздел")))</f>
        <v>Национальная безопасность и правоохранительная  деятельность</v>
      </c>
      <c r="B1233" s="46" t="s">
        <v>110</v>
      </c>
      <c r="C1233" s="8" t="s">
        <v>223</v>
      </c>
      <c r="D1233" s="1"/>
      <c r="E1233" s="115"/>
      <c r="F1233" s="7">
        <f t="shared" si="261"/>
        <v>354.6</v>
      </c>
      <c r="G1233" s="7">
        <f t="shared" si="261"/>
        <v>0</v>
      </c>
      <c r="H1233" s="36">
        <f t="shared" si="248"/>
        <v>354.6</v>
      </c>
      <c r="I1233" s="7">
        <f t="shared" si="261"/>
        <v>0</v>
      </c>
      <c r="J1233" s="36">
        <f t="shared" si="262"/>
        <v>354.6</v>
      </c>
      <c r="K1233" s="7">
        <f t="shared" si="261"/>
        <v>-169.8</v>
      </c>
      <c r="L1233" s="36">
        <f t="shared" si="254"/>
        <v>184.8</v>
      </c>
      <c r="M1233" s="7">
        <f t="shared" si="261"/>
        <v>0</v>
      </c>
      <c r="N1233" s="36">
        <f t="shared" si="255"/>
        <v>184.8</v>
      </c>
      <c r="O1233" s="7">
        <f t="shared" si="261"/>
        <v>0</v>
      </c>
      <c r="P1233" s="36">
        <f t="shared" si="260"/>
        <v>184.8</v>
      </c>
      <c r="Q1233" s="7">
        <f t="shared" si="261"/>
        <v>0</v>
      </c>
      <c r="R1233" s="36">
        <f t="shared" si="257"/>
        <v>184.8</v>
      </c>
    </row>
    <row r="1234" spans="1:18" ht="33">
      <c r="A1234" s="12" t="s">
        <v>270</v>
      </c>
      <c r="B1234" s="46" t="s">
        <v>110</v>
      </c>
      <c r="C1234" s="8" t="s">
        <v>223</v>
      </c>
      <c r="D1234" s="1" t="s">
        <v>227</v>
      </c>
      <c r="E1234" s="115"/>
      <c r="F1234" s="7">
        <f t="shared" si="261"/>
        <v>354.6</v>
      </c>
      <c r="G1234" s="7">
        <f t="shared" si="261"/>
        <v>0</v>
      </c>
      <c r="H1234" s="36">
        <f t="shared" si="248"/>
        <v>354.6</v>
      </c>
      <c r="I1234" s="7">
        <f t="shared" si="261"/>
        <v>0</v>
      </c>
      <c r="J1234" s="36">
        <f t="shared" si="262"/>
        <v>354.6</v>
      </c>
      <c r="K1234" s="7">
        <f t="shared" si="261"/>
        <v>-169.8</v>
      </c>
      <c r="L1234" s="36">
        <f t="shared" si="254"/>
        <v>184.8</v>
      </c>
      <c r="M1234" s="7">
        <f t="shared" si="261"/>
        <v>0</v>
      </c>
      <c r="N1234" s="36">
        <f t="shared" si="255"/>
        <v>184.8</v>
      </c>
      <c r="O1234" s="7">
        <f t="shared" si="261"/>
        <v>0</v>
      </c>
      <c r="P1234" s="36">
        <f t="shared" si="260"/>
        <v>184.8</v>
      </c>
      <c r="Q1234" s="7">
        <f t="shared" si="261"/>
        <v>0</v>
      </c>
      <c r="R1234" s="36">
        <f t="shared" si="257"/>
        <v>184.8</v>
      </c>
    </row>
    <row r="1235" spans="1:18" ht="12.75">
      <c r="A1235" s="62" t="str">
        <f ca="1">IF(ISERROR(MATCH(E1235,Код_КВР,0)),"",INDIRECT(ADDRESS(MATCH(E1235,Код_КВР,0)+1,2,,,"КВР")))</f>
        <v>Закупка товаров, работ и услуг для муниципальных нужд</v>
      </c>
      <c r="B1235" s="46" t="s">
        <v>110</v>
      </c>
      <c r="C1235" s="8" t="s">
        <v>223</v>
      </c>
      <c r="D1235" s="1" t="s">
        <v>227</v>
      </c>
      <c r="E1235" s="115">
        <v>200</v>
      </c>
      <c r="F1235" s="7">
        <f t="shared" si="261"/>
        <v>354.6</v>
      </c>
      <c r="G1235" s="7">
        <f t="shared" si="261"/>
        <v>0</v>
      </c>
      <c r="H1235" s="36">
        <f t="shared" si="248"/>
        <v>354.6</v>
      </c>
      <c r="I1235" s="7">
        <f t="shared" si="261"/>
        <v>0</v>
      </c>
      <c r="J1235" s="36">
        <f t="shared" si="262"/>
        <v>354.6</v>
      </c>
      <c r="K1235" s="7">
        <f t="shared" si="261"/>
        <v>-169.8</v>
      </c>
      <c r="L1235" s="36">
        <f t="shared" si="254"/>
        <v>184.8</v>
      </c>
      <c r="M1235" s="7">
        <f t="shared" si="261"/>
        <v>0</v>
      </c>
      <c r="N1235" s="36">
        <f t="shared" si="255"/>
        <v>184.8</v>
      </c>
      <c r="O1235" s="7">
        <f t="shared" si="261"/>
        <v>0</v>
      </c>
      <c r="P1235" s="36">
        <f t="shared" si="260"/>
        <v>184.8</v>
      </c>
      <c r="Q1235" s="7">
        <f t="shared" si="261"/>
        <v>0</v>
      </c>
      <c r="R1235" s="36">
        <f t="shared" si="257"/>
        <v>184.8</v>
      </c>
    </row>
    <row r="1236" spans="1:18" ht="33">
      <c r="A1236" s="62" t="str">
        <f ca="1">IF(ISERROR(MATCH(E1236,Код_КВР,0)),"",INDIRECT(ADDRESS(MATCH(E1236,Код_КВР,0)+1,2,,,"КВР")))</f>
        <v>Иные закупки товаров, работ и услуг для обеспечения муниципальных нужд</v>
      </c>
      <c r="B1236" s="46" t="s">
        <v>110</v>
      </c>
      <c r="C1236" s="8" t="s">
        <v>223</v>
      </c>
      <c r="D1236" s="1" t="s">
        <v>227</v>
      </c>
      <c r="E1236" s="115">
        <v>240</v>
      </c>
      <c r="F1236" s="7">
        <f t="shared" si="261"/>
        <v>354.6</v>
      </c>
      <c r="G1236" s="7">
        <f t="shared" si="261"/>
        <v>0</v>
      </c>
      <c r="H1236" s="36">
        <f t="shared" si="248"/>
        <v>354.6</v>
      </c>
      <c r="I1236" s="7">
        <f t="shared" si="261"/>
        <v>0</v>
      </c>
      <c r="J1236" s="36">
        <f t="shared" si="262"/>
        <v>354.6</v>
      </c>
      <c r="K1236" s="7">
        <f t="shared" si="261"/>
        <v>-169.8</v>
      </c>
      <c r="L1236" s="36">
        <f t="shared" si="254"/>
        <v>184.8</v>
      </c>
      <c r="M1236" s="7">
        <f t="shared" si="261"/>
        <v>0</v>
      </c>
      <c r="N1236" s="36">
        <f t="shared" si="255"/>
        <v>184.8</v>
      </c>
      <c r="O1236" s="7">
        <f t="shared" si="261"/>
        <v>0</v>
      </c>
      <c r="P1236" s="36">
        <f t="shared" si="260"/>
        <v>184.8</v>
      </c>
      <c r="Q1236" s="7">
        <f t="shared" si="261"/>
        <v>0</v>
      </c>
      <c r="R1236" s="36">
        <f t="shared" si="257"/>
        <v>184.8</v>
      </c>
    </row>
    <row r="1237" spans="1:18" ht="33">
      <c r="A1237" s="62" t="str">
        <f ca="1">IF(ISERROR(MATCH(E1237,Код_КВР,0)),"",INDIRECT(ADDRESS(MATCH(E1237,Код_КВР,0)+1,2,,,"КВР")))</f>
        <v xml:space="preserve">Прочая закупка товаров, работ и услуг для обеспечения муниципальных нужд         </v>
      </c>
      <c r="B1237" s="46" t="s">
        <v>110</v>
      </c>
      <c r="C1237" s="8" t="s">
        <v>223</v>
      </c>
      <c r="D1237" s="1" t="s">
        <v>227</v>
      </c>
      <c r="E1237" s="115">
        <v>244</v>
      </c>
      <c r="F1237" s="7">
        <f>'прил.5'!G198</f>
        <v>354.6</v>
      </c>
      <c r="G1237" s="7">
        <f>'прил.5'!H198</f>
        <v>0</v>
      </c>
      <c r="H1237" s="36">
        <f aca="true" t="shared" si="263" ref="H1237:H1302">F1237+G1237</f>
        <v>354.6</v>
      </c>
      <c r="I1237" s="7">
        <f>'прил.5'!J198</f>
        <v>0</v>
      </c>
      <c r="J1237" s="36">
        <f t="shared" si="262"/>
        <v>354.6</v>
      </c>
      <c r="K1237" s="7">
        <f>'прил.5'!L198</f>
        <v>-169.8</v>
      </c>
      <c r="L1237" s="36">
        <f t="shared" si="254"/>
        <v>184.8</v>
      </c>
      <c r="M1237" s="7">
        <f>'прил.5'!N198</f>
        <v>0</v>
      </c>
      <c r="N1237" s="36">
        <f t="shared" si="255"/>
        <v>184.8</v>
      </c>
      <c r="O1237" s="7">
        <f>'прил.5'!P198</f>
        <v>0</v>
      </c>
      <c r="P1237" s="36">
        <f t="shared" si="260"/>
        <v>184.8</v>
      </c>
      <c r="Q1237" s="7">
        <f>'прил.5'!R198</f>
        <v>0</v>
      </c>
      <c r="R1237" s="36">
        <f t="shared" si="257"/>
        <v>184.8</v>
      </c>
    </row>
    <row r="1238" spans="1:18" ht="33" hidden="1">
      <c r="A1238" s="62" t="str">
        <f ca="1">IF(ISERROR(MATCH(B1238,Код_КЦСР,0)),"",INDIRECT(ADDRESS(MATCH(B1238,Код_КЦСР,0)+1,2,,,"КЦСР")))</f>
        <v>Минимизация последствий от ЧС на опасных производственных объектах экономики (ОПОЭ)</v>
      </c>
      <c r="B1238" s="46" t="s">
        <v>123</v>
      </c>
      <c r="C1238" s="8"/>
      <c r="D1238" s="1"/>
      <c r="E1238" s="115"/>
      <c r="F1238" s="7">
        <f aca="true" t="shared" si="264" ref="F1238:Q1241">F1239</f>
        <v>1559.6</v>
      </c>
      <c r="G1238" s="7">
        <f t="shared" si="264"/>
        <v>0</v>
      </c>
      <c r="H1238" s="36">
        <f t="shared" si="263"/>
        <v>1559.6</v>
      </c>
      <c r="I1238" s="7">
        <f t="shared" si="264"/>
        <v>0</v>
      </c>
      <c r="J1238" s="36">
        <f t="shared" si="262"/>
        <v>1559.6</v>
      </c>
      <c r="K1238" s="7">
        <f t="shared" si="264"/>
        <v>-1559.6</v>
      </c>
      <c r="L1238" s="36">
        <f t="shared" si="254"/>
        <v>0</v>
      </c>
      <c r="M1238" s="7">
        <f t="shared" si="264"/>
        <v>0</v>
      </c>
      <c r="N1238" s="36">
        <f t="shared" si="255"/>
        <v>0</v>
      </c>
      <c r="O1238" s="7">
        <f t="shared" si="264"/>
        <v>0</v>
      </c>
      <c r="P1238" s="36">
        <f t="shared" si="260"/>
        <v>0</v>
      </c>
      <c r="Q1238" s="7">
        <f t="shared" si="264"/>
        <v>0</v>
      </c>
      <c r="R1238" s="36">
        <f t="shared" si="257"/>
        <v>0</v>
      </c>
    </row>
    <row r="1239" spans="1:18" ht="12.75" hidden="1">
      <c r="A1239" s="62" t="str">
        <f ca="1">IF(ISERROR(MATCH(C1239,Код_Раздел,0)),"",INDIRECT(ADDRESS(MATCH(C1239,Код_Раздел,0)+1,2,,,"Раздел")))</f>
        <v>Национальная безопасность и правоохранительная  деятельность</v>
      </c>
      <c r="B1239" s="46" t="s">
        <v>123</v>
      </c>
      <c r="C1239" s="8" t="s">
        <v>223</v>
      </c>
      <c r="D1239" s="1"/>
      <c r="E1239" s="115"/>
      <c r="F1239" s="7">
        <f t="shared" si="264"/>
        <v>1559.6</v>
      </c>
      <c r="G1239" s="7">
        <f t="shared" si="264"/>
        <v>0</v>
      </c>
      <c r="H1239" s="36">
        <f t="shared" si="263"/>
        <v>1559.6</v>
      </c>
      <c r="I1239" s="7">
        <f t="shared" si="264"/>
        <v>0</v>
      </c>
      <c r="J1239" s="36">
        <f t="shared" si="262"/>
        <v>1559.6</v>
      </c>
      <c r="K1239" s="7">
        <f t="shared" si="264"/>
        <v>-1559.6</v>
      </c>
      <c r="L1239" s="36">
        <f t="shared" si="254"/>
        <v>0</v>
      </c>
      <c r="M1239" s="7">
        <f t="shared" si="264"/>
        <v>0</v>
      </c>
      <c r="N1239" s="36">
        <f t="shared" si="255"/>
        <v>0</v>
      </c>
      <c r="O1239" s="7">
        <f t="shared" si="264"/>
        <v>0</v>
      </c>
      <c r="P1239" s="36">
        <f t="shared" si="260"/>
        <v>0</v>
      </c>
      <c r="Q1239" s="7">
        <f t="shared" si="264"/>
        <v>0</v>
      </c>
      <c r="R1239" s="36">
        <f t="shared" si="257"/>
        <v>0</v>
      </c>
    </row>
    <row r="1240" spans="1:18" ht="33" hidden="1">
      <c r="A1240" s="12" t="s">
        <v>270</v>
      </c>
      <c r="B1240" s="46" t="s">
        <v>123</v>
      </c>
      <c r="C1240" s="8" t="s">
        <v>223</v>
      </c>
      <c r="D1240" s="1" t="s">
        <v>227</v>
      </c>
      <c r="E1240" s="115"/>
      <c r="F1240" s="7">
        <f t="shared" si="264"/>
        <v>1559.6</v>
      </c>
      <c r="G1240" s="7">
        <f t="shared" si="264"/>
        <v>0</v>
      </c>
      <c r="H1240" s="36">
        <f t="shared" si="263"/>
        <v>1559.6</v>
      </c>
      <c r="I1240" s="7">
        <f t="shared" si="264"/>
        <v>0</v>
      </c>
      <c r="J1240" s="36">
        <f t="shared" si="262"/>
        <v>1559.6</v>
      </c>
      <c r="K1240" s="7">
        <f t="shared" si="264"/>
        <v>-1559.6</v>
      </c>
      <c r="L1240" s="36">
        <f t="shared" si="254"/>
        <v>0</v>
      </c>
      <c r="M1240" s="7">
        <f t="shared" si="264"/>
        <v>0</v>
      </c>
      <c r="N1240" s="36">
        <f t="shared" si="255"/>
        <v>0</v>
      </c>
      <c r="O1240" s="7">
        <f t="shared" si="264"/>
        <v>0</v>
      </c>
      <c r="P1240" s="36">
        <f t="shared" si="260"/>
        <v>0</v>
      </c>
      <c r="Q1240" s="7">
        <f t="shared" si="264"/>
        <v>0</v>
      </c>
      <c r="R1240" s="36">
        <f t="shared" si="257"/>
        <v>0</v>
      </c>
    </row>
    <row r="1241" spans="1:18" ht="33" hidden="1">
      <c r="A1241" s="62" t="str">
        <f ca="1">IF(ISERROR(MATCH(E1241,Код_КВР,0)),"",INDIRECT(ADDRESS(MATCH(E1241,Код_КВР,0)+1,2,,,"КВР")))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1" s="46" t="s">
        <v>123</v>
      </c>
      <c r="C1241" s="8" t="s">
        <v>223</v>
      </c>
      <c r="D1241" s="1" t="s">
        <v>227</v>
      </c>
      <c r="E1241" s="115">
        <v>100</v>
      </c>
      <c r="F1241" s="7">
        <f t="shared" si="264"/>
        <v>1559.6</v>
      </c>
      <c r="G1241" s="7">
        <f t="shared" si="264"/>
        <v>0</v>
      </c>
      <c r="H1241" s="36">
        <f t="shared" si="263"/>
        <v>1559.6</v>
      </c>
      <c r="I1241" s="7">
        <f t="shared" si="264"/>
        <v>0</v>
      </c>
      <c r="J1241" s="36">
        <f t="shared" si="262"/>
        <v>1559.6</v>
      </c>
      <c r="K1241" s="7">
        <f t="shared" si="264"/>
        <v>-1559.6</v>
      </c>
      <c r="L1241" s="36">
        <f t="shared" si="254"/>
        <v>0</v>
      </c>
      <c r="M1241" s="7">
        <f t="shared" si="264"/>
        <v>0</v>
      </c>
      <c r="N1241" s="36">
        <f t="shared" si="255"/>
        <v>0</v>
      </c>
      <c r="O1241" s="7">
        <f t="shared" si="264"/>
        <v>0</v>
      </c>
      <c r="P1241" s="36">
        <f t="shared" si="260"/>
        <v>0</v>
      </c>
      <c r="Q1241" s="7">
        <f t="shared" si="264"/>
        <v>0</v>
      </c>
      <c r="R1241" s="36">
        <f t="shared" si="257"/>
        <v>0</v>
      </c>
    </row>
    <row r="1242" spans="1:18" ht="12.75" hidden="1">
      <c r="A1242" s="62" t="str">
        <f ca="1">IF(ISERROR(MATCH(E1242,Код_КВР,0)),"",INDIRECT(ADDRESS(MATCH(E1242,Код_КВР,0)+1,2,,,"КВР")))</f>
        <v>Расходы на выплаты персоналу казенных учреждений</v>
      </c>
      <c r="B1242" s="46" t="s">
        <v>123</v>
      </c>
      <c r="C1242" s="8" t="s">
        <v>223</v>
      </c>
      <c r="D1242" s="1" t="s">
        <v>227</v>
      </c>
      <c r="E1242" s="115">
        <v>110</v>
      </c>
      <c r="F1242" s="7">
        <f>'прил.5'!G201</f>
        <v>1559.6</v>
      </c>
      <c r="G1242" s="7">
        <f>'прил.5'!H201</f>
        <v>0</v>
      </c>
      <c r="H1242" s="36">
        <f t="shared" si="263"/>
        <v>1559.6</v>
      </c>
      <c r="I1242" s="7">
        <f>'прил.5'!J201</f>
        <v>0</v>
      </c>
      <c r="J1242" s="36">
        <f t="shared" si="262"/>
        <v>1559.6</v>
      </c>
      <c r="K1242" s="7">
        <f>'прил.5'!L201</f>
        <v>-1559.6</v>
      </c>
      <c r="L1242" s="36">
        <f t="shared" si="254"/>
        <v>0</v>
      </c>
      <c r="M1242" s="7">
        <f>'прил.5'!N201</f>
        <v>0</v>
      </c>
      <c r="N1242" s="36">
        <f t="shared" si="255"/>
        <v>0</v>
      </c>
      <c r="O1242" s="7">
        <f>'прил.5'!P201</f>
        <v>0</v>
      </c>
      <c r="P1242" s="36">
        <f t="shared" si="260"/>
        <v>0</v>
      </c>
      <c r="Q1242" s="7">
        <f>'прил.5'!R201</f>
        <v>0</v>
      </c>
      <c r="R1242" s="36">
        <f t="shared" si="257"/>
        <v>0</v>
      </c>
    </row>
    <row r="1243" spans="1:18" ht="12.75">
      <c r="A1243" s="62" t="str">
        <f ca="1">IF(ISERROR(MATCH(B1243,Код_КЦСР,0)),"",INDIRECT(ADDRESS(MATCH(B1243,Код_КЦСР,0)+1,2,,,"КЦСР")))</f>
        <v xml:space="preserve">Обеспечение создания условий для реализации подпрограммы 2 </v>
      </c>
      <c r="B1243" s="46" t="s">
        <v>125</v>
      </c>
      <c r="C1243" s="8"/>
      <c r="D1243" s="1"/>
      <c r="E1243" s="115"/>
      <c r="F1243" s="7">
        <f>F1244</f>
        <v>46645.7</v>
      </c>
      <c r="G1243" s="7">
        <f>G1244</f>
        <v>0</v>
      </c>
      <c r="H1243" s="36">
        <f t="shared" si="263"/>
        <v>46645.7</v>
      </c>
      <c r="I1243" s="7">
        <f>I1244</f>
        <v>653.2999999999993</v>
      </c>
      <c r="J1243" s="36">
        <f t="shared" si="262"/>
        <v>47299</v>
      </c>
      <c r="K1243" s="7">
        <f>K1244</f>
        <v>-1650.6000000000001</v>
      </c>
      <c r="L1243" s="36">
        <f t="shared" si="254"/>
        <v>45648.4</v>
      </c>
      <c r="M1243" s="7">
        <f>M1244</f>
        <v>0</v>
      </c>
      <c r="N1243" s="36">
        <f t="shared" si="255"/>
        <v>45648.4</v>
      </c>
      <c r="O1243" s="7">
        <f>O1244</f>
        <v>0</v>
      </c>
      <c r="P1243" s="36">
        <f t="shared" si="260"/>
        <v>45648.4</v>
      </c>
      <c r="Q1243" s="7">
        <f>Q1244</f>
        <v>80.1</v>
      </c>
      <c r="R1243" s="36">
        <f t="shared" si="257"/>
        <v>45728.5</v>
      </c>
    </row>
    <row r="1244" spans="1:18" ht="12.75">
      <c r="A1244" s="62" t="str">
        <f ca="1">IF(ISERROR(MATCH(C1244,Код_Раздел,0)),"",INDIRECT(ADDRESS(MATCH(C1244,Код_Раздел,0)+1,2,,,"Раздел")))</f>
        <v>Национальная безопасность и правоохранительная  деятельность</v>
      </c>
      <c r="B1244" s="46" t="s">
        <v>125</v>
      </c>
      <c r="C1244" s="8" t="s">
        <v>223</v>
      </c>
      <c r="D1244" s="1"/>
      <c r="E1244" s="115"/>
      <c r="F1244" s="7">
        <f>F1245</f>
        <v>46645.7</v>
      </c>
      <c r="G1244" s="7">
        <f>G1245</f>
        <v>0</v>
      </c>
      <c r="H1244" s="36">
        <f t="shared" si="263"/>
        <v>46645.7</v>
      </c>
      <c r="I1244" s="7">
        <f>I1245</f>
        <v>653.2999999999993</v>
      </c>
      <c r="J1244" s="36">
        <f t="shared" si="262"/>
        <v>47299</v>
      </c>
      <c r="K1244" s="7">
        <f>K1245</f>
        <v>-1650.6000000000001</v>
      </c>
      <c r="L1244" s="36">
        <f t="shared" si="254"/>
        <v>45648.4</v>
      </c>
      <c r="M1244" s="7">
        <f>M1245</f>
        <v>0</v>
      </c>
      <c r="N1244" s="36">
        <f t="shared" si="255"/>
        <v>45648.4</v>
      </c>
      <c r="O1244" s="7">
        <f>O1245</f>
        <v>0</v>
      </c>
      <c r="P1244" s="36">
        <f t="shared" si="260"/>
        <v>45648.4</v>
      </c>
      <c r="Q1244" s="7">
        <f>Q1245</f>
        <v>80.1</v>
      </c>
      <c r="R1244" s="36">
        <f t="shared" si="257"/>
        <v>45728.5</v>
      </c>
    </row>
    <row r="1245" spans="1:18" ht="33">
      <c r="A1245" s="12" t="s">
        <v>270</v>
      </c>
      <c r="B1245" s="46" t="s">
        <v>125</v>
      </c>
      <c r="C1245" s="8" t="s">
        <v>223</v>
      </c>
      <c r="D1245" s="1" t="s">
        <v>227</v>
      </c>
      <c r="E1245" s="115"/>
      <c r="F1245" s="7">
        <f>F1246+F1248+F1254</f>
        <v>46645.7</v>
      </c>
      <c r="G1245" s="7">
        <f>G1246+G1248+G1254</f>
        <v>0</v>
      </c>
      <c r="H1245" s="36">
        <f t="shared" si="263"/>
        <v>46645.7</v>
      </c>
      <c r="I1245" s="7">
        <f>I1246+I1248+I1254+I1251</f>
        <v>653.2999999999993</v>
      </c>
      <c r="J1245" s="36">
        <f t="shared" si="262"/>
        <v>47299</v>
      </c>
      <c r="K1245" s="7">
        <f>K1246+K1248+K1254+K1251</f>
        <v>-1650.6000000000001</v>
      </c>
      <c r="L1245" s="36">
        <f t="shared" si="254"/>
        <v>45648.4</v>
      </c>
      <c r="M1245" s="7">
        <f>M1246+M1248+M1254+M1251</f>
        <v>0</v>
      </c>
      <c r="N1245" s="36">
        <f t="shared" si="255"/>
        <v>45648.4</v>
      </c>
      <c r="O1245" s="7">
        <f>O1246+O1248+O1254+O1251</f>
        <v>0</v>
      </c>
      <c r="P1245" s="36">
        <f t="shared" si="260"/>
        <v>45648.4</v>
      </c>
      <c r="Q1245" s="7">
        <f>Q1246+Q1248+Q1254+Q1251</f>
        <v>80.1</v>
      </c>
      <c r="R1245" s="36">
        <f t="shared" si="257"/>
        <v>45728.5</v>
      </c>
    </row>
    <row r="1246" spans="1:18" ht="33">
      <c r="A1246" s="62" t="str">
        <f aca="true" t="shared" si="265" ref="A1246:A1257">IF(ISERROR(MATCH(E1246,Код_КВР,0)),"",INDIRECT(ADDRESS(MATCH(E1246,Код_КВР,0)+1,2,,,"КВР")))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6" s="46" t="s">
        <v>125</v>
      </c>
      <c r="C1246" s="8" t="s">
        <v>223</v>
      </c>
      <c r="D1246" s="1" t="s">
        <v>227</v>
      </c>
      <c r="E1246" s="115">
        <v>100</v>
      </c>
      <c r="F1246" s="7">
        <f>F1247</f>
        <v>38954.9</v>
      </c>
      <c r="G1246" s="7">
        <f>G1247</f>
        <v>0</v>
      </c>
      <c r="H1246" s="36">
        <f t="shared" si="263"/>
        <v>38954.9</v>
      </c>
      <c r="I1246" s="7">
        <f>I1247</f>
        <v>-15942.2</v>
      </c>
      <c r="J1246" s="36">
        <f t="shared" si="262"/>
        <v>23012.7</v>
      </c>
      <c r="K1246" s="7">
        <f>K1247</f>
        <v>0</v>
      </c>
      <c r="L1246" s="36">
        <f t="shared" si="254"/>
        <v>23012.7</v>
      </c>
      <c r="M1246" s="7">
        <f>M1247</f>
        <v>0</v>
      </c>
      <c r="N1246" s="36">
        <f t="shared" si="255"/>
        <v>23012.7</v>
      </c>
      <c r="O1246" s="7">
        <f>O1247</f>
        <v>0</v>
      </c>
      <c r="P1246" s="36">
        <f t="shared" si="260"/>
        <v>23012.7</v>
      </c>
      <c r="Q1246" s="7">
        <f>Q1247</f>
        <v>-238</v>
      </c>
      <c r="R1246" s="36">
        <f t="shared" si="257"/>
        <v>22774.7</v>
      </c>
    </row>
    <row r="1247" spans="1:18" ht="12.75">
      <c r="A1247" s="62" t="str">
        <f ca="1" t="shared" si="265"/>
        <v>Расходы на выплаты персоналу казенных учреждений</v>
      </c>
      <c r="B1247" s="46" t="s">
        <v>125</v>
      </c>
      <c r="C1247" s="8" t="s">
        <v>223</v>
      </c>
      <c r="D1247" s="1" t="s">
        <v>227</v>
      </c>
      <c r="E1247" s="115">
        <v>110</v>
      </c>
      <c r="F1247" s="7">
        <f>'прил.5'!G204</f>
        <v>38954.9</v>
      </c>
      <c r="G1247" s="7">
        <f>'прил.5'!H204</f>
        <v>0</v>
      </c>
      <c r="H1247" s="36">
        <f t="shared" si="263"/>
        <v>38954.9</v>
      </c>
      <c r="I1247" s="7">
        <f>'прил.5'!J204</f>
        <v>-15942.2</v>
      </c>
      <c r="J1247" s="36">
        <f t="shared" si="262"/>
        <v>23012.7</v>
      </c>
      <c r="K1247" s="7">
        <f>'прил.5'!L204</f>
        <v>0</v>
      </c>
      <c r="L1247" s="36">
        <f t="shared" si="254"/>
        <v>23012.7</v>
      </c>
      <c r="M1247" s="7">
        <f>'прил.5'!N204</f>
        <v>0</v>
      </c>
      <c r="N1247" s="36">
        <f t="shared" si="255"/>
        <v>23012.7</v>
      </c>
      <c r="O1247" s="7">
        <f>'прил.5'!P204</f>
        <v>0</v>
      </c>
      <c r="P1247" s="36">
        <f t="shared" si="260"/>
        <v>23012.7</v>
      </c>
      <c r="Q1247" s="7">
        <f>'прил.5'!R204</f>
        <v>-238</v>
      </c>
      <c r="R1247" s="36">
        <f t="shared" si="257"/>
        <v>22774.7</v>
      </c>
    </row>
    <row r="1248" spans="1:18" ht="12.75">
      <c r="A1248" s="62" t="str">
        <f ca="1" t="shared" si="265"/>
        <v>Закупка товаров, работ и услуг для муниципальных нужд</v>
      </c>
      <c r="B1248" s="46" t="s">
        <v>125</v>
      </c>
      <c r="C1248" s="8" t="s">
        <v>223</v>
      </c>
      <c r="D1248" s="1" t="s">
        <v>227</v>
      </c>
      <c r="E1248" s="115">
        <v>200</v>
      </c>
      <c r="F1248" s="7">
        <f>F1249</f>
        <v>6568.2</v>
      </c>
      <c r="G1248" s="7">
        <f>G1249</f>
        <v>0</v>
      </c>
      <c r="H1248" s="36">
        <f t="shared" si="263"/>
        <v>6568.2</v>
      </c>
      <c r="I1248" s="7">
        <f>I1249</f>
        <v>-1391.1</v>
      </c>
      <c r="J1248" s="36">
        <f t="shared" si="262"/>
        <v>5177.1</v>
      </c>
      <c r="K1248" s="7">
        <f>K1249</f>
        <v>-1650.6000000000001</v>
      </c>
      <c r="L1248" s="36">
        <f t="shared" si="254"/>
        <v>3526.5</v>
      </c>
      <c r="M1248" s="7">
        <f>M1249</f>
        <v>0</v>
      </c>
      <c r="N1248" s="36">
        <f t="shared" si="255"/>
        <v>3526.5</v>
      </c>
      <c r="O1248" s="7">
        <f>O1249</f>
        <v>0</v>
      </c>
      <c r="P1248" s="36">
        <f t="shared" si="260"/>
        <v>3526.5</v>
      </c>
      <c r="Q1248" s="7">
        <f>Q1249</f>
        <v>238</v>
      </c>
      <c r="R1248" s="36">
        <f t="shared" si="257"/>
        <v>3764.5</v>
      </c>
    </row>
    <row r="1249" spans="1:18" ht="33">
      <c r="A1249" s="62" t="str">
        <f ca="1" t="shared" si="265"/>
        <v>Иные закупки товаров, работ и услуг для обеспечения муниципальных нужд</v>
      </c>
      <c r="B1249" s="46" t="s">
        <v>125</v>
      </c>
      <c r="C1249" s="8" t="s">
        <v>223</v>
      </c>
      <c r="D1249" s="1" t="s">
        <v>227</v>
      </c>
      <c r="E1249" s="115">
        <v>240</v>
      </c>
      <c r="F1249" s="7">
        <f>F1250</f>
        <v>6568.2</v>
      </c>
      <c r="G1249" s="7">
        <f>G1250</f>
        <v>0</v>
      </c>
      <c r="H1249" s="36">
        <f t="shared" si="263"/>
        <v>6568.2</v>
      </c>
      <c r="I1249" s="7">
        <f>I1250</f>
        <v>-1391.1</v>
      </c>
      <c r="J1249" s="36">
        <f t="shared" si="262"/>
        <v>5177.1</v>
      </c>
      <c r="K1249" s="7">
        <f>K1250</f>
        <v>-1650.6000000000001</v>
      </c>
      <c r="L1249" s="36">
        <f t="shared" si="254"/>
        <v>3526.5</v>
      </c>
      <c r="M1249" s="7">
        <f>M1250</f>
        <v>0</v>
      </c>
      <c r="N1249" s="36">
        <f t="shared" si="255"/>
        <v>3526.5</v>
      </c>
      <c r="O1249" s="7">
        <f>O1250</f>
        <v>0</v>
      </c>
      <c r="P1249" s="36">
        <f t="shared" si="260"/>
        <v>3526.5</v>
      </c>
      <c r="Q1249" s="7">
        <f>Q1250</f>
        <v>238</v>
      </c>
      <c r="R1249" s="36">
        <f t="shared" si="257"/>
        <v>3764.5</v>
      </c>
    </row>
    <row r="1250" spans="1:18" ht="33">
      <c r="A1250" s="62" t="str">
        <f ca="1" t="shared" si="265"/>
        <v xml:space="preserve">Прочая закупка товаров, работ и услуг для обеспечения муниципальных нужд         </v>
      </c>
      <c r="B1250" s="46" t="s">
        <v>125</v>
      </c>
      <c r="C1250" s="8" t="s">
        <v>223</v>
      </c>
      <c r="D1250" s="1" t="s">
        <v>227</v>
      </c>
      <c r="E1250" s="115">
        <v>244</v>
      </c>
      <c r="F1250" s="7">
        <f>'прил.5'!G207</f>
        <v>6568.2</v>
      </c>
      <c r="G1250" s="7">
        <f>'прил.5'!H207</f>
        <v>0</v>
      </c>
      <c r="H1250" s="36">
        <f t="shared" si="263"/>
        <v>6568.2</v>
      </c>
      <c r="I1250" s="7">
        <f>'прил.5'!J207</f>
        <v>-1391.1</v>
      </c>
      <c r="J1250" s="36">
        <f t="shared" si="262"/>
        <v>5177.1</v>
      </c>
      <c r="K1250" s="7">
        <f>'прил.5'!L207</f>
        <v>-1650.6000000000001</v>
      </c>
      <c r="L1250" s="36">
        <f t="shared" si="254"/>
        <v>3526.5</v>
      </c>
      <c r="M1250" s="7">
        <f>'прил.5'!N207</f>
        <v>0</v>
      </c>
      <c r="N1250" s="36">
        <f t="shared" si="255"/>
        <v>3526.5</v>
      </c>
      <c r="O1250" s="7">
        <f>'прил.5'!P207</f>
        <v>0</v>
      </c>
      <c r="P1250" s="36">
        <f t="shared" si="260"/>
        <v>3526.5</v>
      </c>
      <c r="Q1250" s="7">
        <f>'прил.5'!R207</f>
        <v>238</v>
      </c>
      <c r="R1250" s="36">
        <f t="shared" si="257"/>
        <v>3764.5</v>
      </c>
    </row>
    <row r="1251" spans="1:18" ht="33">
      <c r="A1251" s="62" t="str">
        <f aca="true" t="shared" si="266" ref="A1251:A1253">IF(ISERROR(MATCH(E1251,Код_КВР,0)),"",INDIRECT(ADDRESS(MATCH(E1251,Код_КВР,0)+1,2,,,"КВР")))</f>
        <v>Предоставление субсидий бюджетным, автономным учреждениям и иным некоммерческим организациям</v>
      </c>
      <c r="B1251" s="46" t="s">
        <v>125</v>
      </c>
      <c r="C1251" s="8" t="s">
        <v>223</v>
      </c>
      <c r="D1251" s="1" t="s">
        <v>227</v>
      </c>
      <c r="E1251" s="115">
        <v>600</v>
      </c>
      <c r="F1251" s="7"/>
      <c r="G1251" s="7"/>
      <c r="H1251" s="36"/>
      <c r="I1251" s="7">
        <f>I1252</f>
        <v>18250.1</v>
      </c>
      <c r="J1251" s="36">
        <f t="shared" si="262"/>
        <v>18250.1</v>
      </c>
      <c r="K1251" s="7">
        <f>K1252</f>
        <v>0</v>
      </c>
      <c r="L1251" s="36">
        <f t="shared" si="254"/>
        <v>18250.1</v>
      </c>
      <c r="M1251" s="7">
        <f>M1252</f>
        <v>0</v>
      </c>
      <c r="N1251" s="36">
        <f t="shared" si="255"/>
        <v>18250.1</v>
      </c>
      <c r="O1251" s="7">
        <f>O1252</f>
        <v>0</v>
      </c>
      <c r="P1251" s="36">
        <f t="shared" si="260"/>
        <v>18250.1</v>
      </c>
      <c r="Q1251" s="7">
        <f>Q1252</f>
        <v>68.69999999999999</v>
      </c>
      <c r="R1251" s="36">
        <f t="shared" si="257"/>
        <v>18318.8</v>
      </c>
    </row>
    <row r="1252" spans="1:18" ht="12.75">
      <c r="A1252" s="62" t="str">
        <f ca="1" t="shared" si="266"/>
        <v>Субсидии бюджетным учреждениям</v>
      </c>
      <c r="B1252" s="46" t="s">
        <v>125</v>
      </c>
      <c r="C1252" s="8" t="s">
        <v>223</v>
      </c>
      <c r="D1252" s="1" t="s">
        <v>227</v>
      </c>
      <c r="E1252" s="115">
        <v>610</v>
      </c>
      <c r="F1252" s="7"/>
      <c r="G1252" s="7"/>
      <c r="H1252" s="36"/>
      <c r="I1252" s="7">
        <f>I1253</f>
        <v>18250.1</v>
      </c>
      <c r="J1252" s="36">
        <f t="shared" si="262"/>
        <v>18250.1</v>
      </c>
      <c r="K1252" s="7">
        <f>K1253</f>
        <v>0</v>
      </c>
      <c r="L1252" s="36">
        <f t="shared" si="254"/>
        <v>18250.1</v>
      </c>
      <c r="M1252" s="7">
        <f>M1253</f>
        <v>0</v>
      </c>
      <c r="N1252" s="36">
        <f t="shared" si="255"/>
        <v>18250.1</v>
      </c>
      <c r="O1252" s="7">
        <f>O1253</f>
        <v>0</v>
      </c>
      <c r="P1252" s="36">
        <f t="shared" si="260"/>
        <v>18250.1</v>
      </c>
      <c r="Q1252" s="7">
        <f>Q1253</f>
        <v>68.69999999999999</v>
      </c>
      <c r="R1252" s="36">
        <f t="shared" si="257"/>
        <v>18318.8</v>
      </c>
    </row>
    <row r="1253" spans="1:18" ht="49.5">
      <c r="A1253" s="62" t="str">
        <f ca="1" t="shared" si="26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53" s="46" t="s">
        <v>125</v>
      </c>
      <c r="C1253" s="8" t="s">
        <v>223</v>
      </c>
      <c r="D1253" s="1" t="s">
        <v>227</v>
      </c>
      <c r="E1253" s="115">
        <v>611</v>
      </c>
      <c r="F1253" s="7"/>
      <c r="G1253" s="7"/>
      <c r="H1253" s="36"/>
      <c r="I1253" s="7">
        <f>'прил.5'!J210</f>
        <v>18250.1</v>
      </c>
      <c r="J1253" s="36">
        <f t="shared" si="262"/>
        <v>18250.1</v>
      </c>
      <c r="K1253" s="7">
        <f>'прил.5'!L210</f>
        <v>0</v>
      </c>
      <c r="L1253" s="36">
        <f t="shared" si="254"/>
        <v>18250.1</v>
      </c>
      <c r="M1253" s="7">
        <f>'прил.5'!N210</f>
        <v>0</v>
      </c>
      <c r="N1253" s="36">
        <f t="shared" si="255"/>
        <v>18250.1</v>
      </c>
      <c r="O1253" s="7">
        <f>'прил.5'!P210</f>
        <v>0</v>
      </c>
      <c r="P1253" s="36">
        <f t="shared" si="260"/>
        <v>18250.1</v>
      </c>
      <c r="Q1253" s="7">
        <f>'прил.5'!R210</f>
        <v>68.69999999999999</v>
      </c>
      <c r="R1253" s="36">
        <f t="shared" si="257"/>
        <v>18318.8</v>
      </c>
    </row>
    <row r="1254" spans="1:18" ht="12.75">
      <c r="A1254" s="62" t="str">
        <f ca="1" t="shared" si="265"/>
        <v>Иные бюджетные ассигнования</v>
      </c>
      <c r="B1254" s="46" t="s">
        <v>125</v>
      </c>
      <c r="C1254" s="8" t="s">
        <v>223</v>
      </c>
      <c r="D1254" s="1" t="s">
        <v>227</v>
      </c>
      <c r="E1254" s="115">
        <v>800</v>
      </c>
      <c r="F1254" s="7">
        <f>F1255</f>
        <v>1122.6</v>
      </c>
      <c r="G1254" s="7">
        <f>G1255</f>
        <v>0</v>
      </c>
      <c r="H1254" s="36">
        <f t="shared" si="263"/>
        <v>1122.6</v>
      </c>
      <c r="I1254" s="7">
        <f>I1255</f>
        <v>-263.5</v>
      </c>
      <c r="J1254" s="36">
        <f t="shared" si="262"/>
        <v>859.0999999999999</v>
      </c>
      <c r="K1254" s="7">
        <f>K1255</f>
        <v>0</v>
      </c>
      <c r="L1254" s="36">
        <f t="shared" si="254"/>
        <v>859.0999999999999</v>
      </c>
      <c r="M1254" s="7">
        <f>M1255</f>
        <v>0</v>
      </c>
      <c r="N1254" s="36">
        <f t="shared" si="255"/>
        <v>859.0999999999999</v>
      </c>
      <c r="O1254" s="7">
        <f>O1255</f>
        <v>0</v>
      </c>
      <c r="P1254" s="36">
        <f t="shared" si="260"/>
        <v>859.0999999999999</v>
      </c>
      <c r="Q1254" s="7">
        <f>Q1255</f>
        <v>11.4</v>
      </c>
      <c r="R1254" s="36">
        <f t="shared" si="257"/>
        <v>870.4999999999999</v>
      </c>
    </row>
    <row r="1255" spans="1:18" ht="12.75">
      <c r="A1255" s="62" t="str">
        <f ca="1" t="shared" si="265"/>
        <v>Уплата налогов, сборов и иных платежей</v>
      </c>
      <c r="B1255" s="46" t="s">
        <v>125</v>
      </c>
      <c r="C1255" s="8" t="s">
        <v>223</v>
      </c>
      <c r="D1255" s="1" t="s">
        <v>227</v>
      </c>
      <c r="E1255" s="115">
        <v>850</v>
      </c>
      <c r="F1255" s="7">
        <f>SUM(F1256:F1257)</f>
        <v>1122.6</v>
      </c>
      <c r="G1255" s="7">
        <f>SUM(G1256:G1257)</f>
        <v>0</v>
      </c>
      <c r="H1255" s="36">
        <f t="shared" si="263"/>
        <v>1122.6</v>
      </c>
      <c r="I1255" s="7">
        <f>SUM(I1256:I1257)</f>
        <v>-263.5</v>
      </c>
      <c r="J1255" s="36">
        <f t="shared" si="262"/>
        <v>859.0999999999999</v>
      </c>
      <c r="K1255" s="7">
        <f>SUM(K1256:K1257)</f>
        <v>0</v>
      </c>
      <c r="L1255" s="36">
        <f t="shared" si="254"/>
        <v>859.0999999999999</v>
      </c>
      <c r="M1255" s="7">
        <f>SUM(M1256:M1257)</f>
        <v>0</v>
      </c>
      <c r="N1255" s="36">
        <f t="shared" si="255"/>
        <v>859.0999999999999</v>
      </c>
      <c r="O1255" s="7">
        <f>SUM(O1256:O1257)</f>
        <v>0</v>
      </c>
      <c r="P1255" s="36">
        <f t="shared" si="260"/>
        <v>859.0999999999999</v>
      </c>
      <c r="Q1255" s="7">
        <f>SUM(Q1256:Q1257)</f>
        <v>11.4</v>
      </c>
      <c r="R1255" s="36">
        <f t="shared" si="257"/>
        <v>870.4999999999999</v>
      </c>
    </row>
    <row r="1256" spans="1:18" ht="12.75">
      <c r="A1256" s="62" t="str">
        <f ca="1" t="shared" si="265"/>
        <v>Уплата налога на имущество организаций и земельного налога</v>
      </c>
      <c r="B1256" s="46" t="s">
        <v>125</v>
      </c>
      <c r="C1256" s="8" t="s">
        <v>223</v>
      </c>
      <c r="D1256" s="1" t="s">
        <v>227</v>
      </c>
      <c r="E1256" s="115">
        <v>851</v>
      </c>
      <c r="F1256" s="7">
        <f>'прил.5'!G213</f>
        <v>984.9</v>
      </c>
      <c r="G1256" s="7">
        <f>'прил.5'!H213</f>
        <v>0</v>
      </c>
      <c r="H1256" s="36">
        <f t="shared" si="263"/>
        <v>984.9</v>
      </c>
      <c r="I1256" s="7">
        <f>'прил.5'!J213</f>
        <v>-219.1</v>
      </c>
      <c r="J1256" s="36">
        <f t="shared" si="262"/>
        <v>765.8</v>
      </c>
      <c r="K1256" s="7">
        <f>'прил.5'!L213</f>
        <v>0</v>
      </c>
      <c r="L1256" s="36">
        <f t="shared" si="254"/>
        <v>765.8</v>
      </c>
      <c r="M1256" s="7">
        <f>'прил.5'!N213</f>
        <v>0</v>
      </c>
      <c r="N1256" s="36">
        <f t="shared" si="255"/>
        <v>765.8</v>
      </c>
      <c r="O1256" s="7">
        <f>'прил.5'!P213</f>
        <v>0</v>
      </c>
      <c r="P1256" s="36">
        <f t="shared" si="260"/>
        <v>765.8</v>
      </c>
      <c r="Q1256" s="7">
        <f>'прил.5'!R213</f>
        <v>0</v>
      </c>
      <c r="R1256" s="36">
        <f t="shared" si="257"/>
        <v>765.8</v>
      </c>
    </row>
    <row r="1257" spans="1:18" ht="12.75">
      <c r="A1257" s="62" t="str">
        <f ca="1" t="shared" si="265"/>
        <v>Уплата прочих налогов, сборов и иных платежей</v>
      </c>
      <c r="B1257" s="46" t="s">
        <v>125</v>
      </c>
      <c r="C1257" s="8" t="s">
        <v>223</v>
      </c>
      <c r="D1257" s="1" t="s">
        <v>227</v>
      </c>
      <c r="E1257" s="115">
        <v>852</v>
      </c>
      <c r="F1257" s="7">
        <f>'прил.5'!G214</f>
        <v>137.7</v>
      </c>
      <c r="G1257" s="7">
        <f>'прил.5'!H214</f>
        <v>0</v>
      </c>
      <c r="H1257" s="36">
        <f t="shared" si="263"/>
        <v>137.7</v>
      </c>
      <c r="I1257" s="7">
        <f>'прил.5'!J214</f>
        <v>-44.400000000000006</v>
      </c>
      <c r="J1257" s="36">
        <f t="shared" si="262"/>
        <v>93.29999999999998</v>
      </c>
      <c r="K1257" s="7">
        <f>'прил.5'!L214</f>
        <v>0</v>
      </c>
      <c r="L1257" s="36">
        <f t="shared" si="254"/>
        <v>93.29999999999998</v>
      </c>
      <c r="M1257" s="7">
        <f>'прил.5'!N214</f>
        <v>0</v>
      </c>
      <c r="N1257" s="36">
        <f t="shared" si="255"/>
        <v>93.29999999999998</v>
      </c>
      <c r="O1257" s="7">
        <f>'прил.5'!P214</f>
        <v>0</v>
      </c>
      <c r="P1257" s="36">
        <f t="shared" si="260"/>
        <v>93.29999999999998</v>
      </c>
      <c r="Q1257" s="7">
        <f>'прил.5'!R214</f>
        <v>11.4</v>
      </c>
      <c r="R1257" s="36">
        <f t="shared" si="257"/>
        <v>104.69999999999999</v>
      </c>
    </row>
    <row r="1258" spans="1:18" ht="33">
      <c r="A1258" s="62" t="str">
        <f ca="1">IF(ISERROR(MATCH(B1258,Код_КЦСР,0)),"",INDIRECT(ADDRESS(MATCH(B1258,Код_КЦСР,0)+1,2,,,"КЦСР")))</f>
        <v>Муниципальная программа «Совершенствование муниципального управления в городе Череповце» на 2014-2018 годы</v>
      </c>
      <c r="B1258" s="46" t="s">
        <v>126</v>
      </c>
      <c r="C1258" s="8"/>
      <c r="D1258" s="1"/>
      <c r="E1258" s="115"/>
      <c r="F1258" s="7">
        <f>F1259+F1278+F1290</f>
        <v>122171.1</v>
      </c>
      <c r="G1258" s="7">
        <f>G1259+G1278+G1290</f>
        <v>0</v>
      </c>
      <c r="H1258" s="36">
        <f t="shared" si="263"/>
        <v>122171.1</v>
      </c>
      <c r="I1258" s="7">
        <f>I1259+I1278+I1290</f>
        <v>864.5</v>
      </c>
      <c r="J1258" s="36">
        <f t="shared" si="262"/>
        <v>123035.6</v>
      </c>
      <c r="K1258" s="7">
        <f>K1259+K1278+K1290</f>
        <v>-207</v>
      </c>
      <c r="L1258" s="36">
        <f t="shared" si="254"/>
        <v>122828.6</v>
      </c>
      <c r="M1258" s="7">
        <f>M1259+M1278+M1290</f>
        <v>0</v>
      </c>
      <c r="N1258" s="36">
        <f t="shared" si="255"/>
        <v>122828.6</v>
      </c>
      <c r="O1258" s="7">
        <f>O1259+O1278+O1290</f>
        <v>-1200</v>
      </c>
      <c r="P1258" s="36">
        <f t="shared" si="260"/>
        <v>121628.6</v>
      </c>
      <c r="Q1258" s="7">
        <f>Q1259+Q1278+Q1290</f>
        <v>-3168</v>
      </c>
      <c r="R1258" s="36">
        <f t="shared" si="257"/>
        <v>118460.6</v>
      </c>
    </row>
    <row r="1259" spans="1:18" ht="33">
      <c r="A1259" s="62" t="str">
        <f ca="1">IF(ISERROR(MATCH(B1259,Код_КЦСР,0)),"",INDIRECT(ADDRESS(MATCH(B1259,Код_КЦСР,0)+1,2,,,"КЦСР")))</f>
        <v>Создание условий для обеспечения выполнения органами муниципальной власти своих полномочий</v>
      </c>
      <c r="B1259" s="46" t="s">
        <v>127</v>
      </c>
      <c r="C1259" s="8"/>
      <c r="D1259" s="1"/>
      <c r="E1259" s="115"/>
      <c r="F1259" s="7">
        <f>F1260+F1266</f>
        <v>74643.2</v>
      </c>
      <c r="G1259" s="7">
        <f>G1260+G1266</f>
        <v>0</v>
      </c>
      <c r="H1259" s="36">
        <f t="shared" si="263"/>
        <v>74643.2</v>
      </c>
      <c r="I1259" s="7">
        <f>I1260+I1266</f>
        <v>1364.5</v>
      </c>
      <c r="J1259" s="36">
        <f t="shared" si="262"/>
        <v>76007.7</v>
      </c>
      <c r="K1259" s="7">
        <f>K1260+K1266</f>
        <v>0</v>
      </c>
      <c r="L1259" s="36">
        <f t="shared" si="254"/>
        <v>76007.7</v>
      </c>
      <c r="M1259" s="7">
        <f>M1260+M1266</f>
        <v>0</v>
      </c>
      <c r="N1259" s="36">
        <f t="shared" si="255"/>
        <v>76007.7</v>
      </c>
      <c r="O1259" s="7">
        <f>O1260+O1266</f>
        <v>0</v>
      </c>
      <c r="P1259" s="36">
        <f t="shared" si="260"/>
        <v>76007.7</v>
      </c>
      <c r="Q1259" s="7">
        <f>Q1260+Q1266</f>
        <v>289</v>
      </c>
      <c r="R1259" s="36">
        <f t="shared" si="257"/>
        <v>76296.7</v>
      </c>
    </row>
    <row r="1260" spans="1:18" ht="12.75">
      <c r="A1260" s="62" t="str">
        <f ca="1">IF(ISERROR(MATCH(B1260,Код_КЦСР,0)),"",INDIRECT(ADDRESS(MATCH(B1260,Код_КЦСР,0)+1,2,,,"КЦСР")))</f>
        <v>Обеспечение работы СЭД «Летограф»</v>
      </c>
      <c r="B1260" s="46" t="s">
        <v>129</v>
      </c>
      <c r="C1260" s="8"/>
      <c r="D1260" s="1"/>
      <c r="E1260" s="115"/>
      <c r="F1260" s="7">
        <f aca="true" t="shared" si="267" ref="F1260:Q1264">F1261</f>
        <v>290</v>
      </c>
      <c r="G1260" s="7">
        <f t="shared" si="267"/>
        <v>0</v>
      </c>
      <c r="H1260" s="36">
        <f t="shared" si="263"/>
        <v>290</v>
      </c>
      <c r="I1260" s="7">
        <f t="shared" si="267"/>
        <v>0</v>
      </c>
      <c r="J1260" s="36">
        <f t="shared" si="262"/>
        <v>290</v>
      </c>
      <c r="K1260" s="7">
        <f t="shared" si="267"/>
        <v>0</v>
      </c>
      <c r="L1260" s="36">
        <f t="shared" si="254"/>
        <v>290</v>
      </c>
      <c r="M1260" s="7">
        <f t="shared" si="267"/>
        <v>0</v>
      </c>
      <c r="N1260" s="36">
        <f t="shared" si="255"/>
        <v>290</v>
      </c>
      <c r="O1260" s="7">
        <f t="shared" si="267"/>
        <v>0</v>
      </c>
      <c r="P1260" s="36">
        <f t="shared" si="260"/>
        <v>290</v>
      </c>
      <c r="Q1260" s="7">
        <f t="shared" si="267"/>
        <v>0</v>
      </c>
      <c r="R1260" s="36">
        <f t="shared" si="257"/>
        <v>290</v>
      </c>
    </row>
    <row r="1261" spans="1:18" ht="12.75">
      <c r="A1261" s="62" t="str">
        <f ca="1">IF(ISERROR(MATCH(C1261,Код_Раздел,0)),"",INDIRECT(ADDRESS(MATCH(C1261,Код_Раздел,0)+1,2,,,"Раздел")))</f>
        <v>Национальная экономика</v>
      </c>
      <c r="B1261" s="46" t="s">
        <v>129</v>
      </c>
      <c r="C1261" s="8" t="s">
        <v>224</v>
      </c>
      <c r="D1261" s="1"/>
      <c r="E1261" s="115"/>
      <c r="F1261" s="7">
        <f t="shared" si="267"/>
        <v>290</v>
      </c>
      <c r="G1261" s="7">
        <f t="shared" si="267"/>
        <v>0</v>
      </c>
      <c r="H1261" s="36">
        <f t="shared" si="263"/>
        <v>290</v>
      </c>
      <c r="I1261" s="7">
        <f t="shared" si="267"/>
        <v>0</v>
      </c>
      <c r="J1261" s="36">
        <f t="shared" si="262"/>
        <v>290</v>
      </c>
      <c r="K1261" s="7">
        <f t="shared" si="267"/>
        <v>0</v>
      </c>
      <c r="L1261" s="36">
        <f aca="true" t="shared" si="268" ref="L1261:L1323">J1261+K1261</f>
        <v>290</v>
      </c>
      <c r="M1261" s="7">
        <f t="shared" si="267"/>
        <v>0</v>
      </c>
      <c r="N1261" s="36">
        <f aca="true" t="shared" si="269" ref="N1261:N1296">L1261+M1261</f>
        <v>290</v>
      </c>
      <c r="O1261" s="7">
        <f t="shared" si="267"/>
        <v>0</v>
      </c>
      <c r="P1261" s="36">
        <f t="shared" si="260"/>
        <v>290</v>
      </c>
      <c r="Q1261" s="7">
        <f t="shared" si="267"/>
        <v>0</v>
      </c>
      <c r="R1261" s="36">
        <f t="shared" si="257"/>
        <v>290</v>
      </c>
    </row>
    <row r="1262" spans="1:18" ht="12.75">
      <c r="A1262" s="12" t="s">
        <v>238</v>
      </c>
      <c r="B1262" s="46" t="s">
        <v>129</v>
      </c>
      <c r="C1262" s="8" t="s">
        <v>224</v>
      </c>
      <c r="D1262" s="1" t="s">
        <v>196</v>
      </c>
      <c r="E1262" s="115"/>
      <c r="F1262" s="7">
        <f t="shared" si="267"/>
        <v>290</v>
      </c>
      <c r="G1262" s="7">
        <f t="shared" si="267"/>
        <v>0</v>
      </c>
      <c r="H1262" s="36">
        <f t="shared" si="263"/>
        <v>290</v>
      </c>
      <c r="I1262" s="7">
        <f t="shared" si="267"/>
        <v>0</v>
      </c>
      <c r="J1262" s="36">
        <f t="shared" si="262"/>
        <v>290</v>
      </c>
      <c r="K1262" s="7">
        <f t="shared" si="267"/>
        <v>0</v>
      </c>
      <c r="L1262" s="36">
        <f t="shared" si="268"/>
        <v>290</v>
      </c>
      <c r="M1262" s="7">
        <f t="shared" si="267"/>
        <v>0</v>
      </c>
      <c r="N1262" s="36">
        <f t="shared" si="269"/>
        <v>290</v>
      </c>
      <c r="O1262" s="7">
        <f t="shared" si="267"/>
        <v>0</v>
      </c>
      <c r="P1262" s="36">
        <f t="shared" si="260"/>
        <v>290</v>
      </c>
      <c r="Q1262" s="7">
        <f t="shared" si="267"/>
        <v>0</v>
      </c>
      <c r="R1262" s="36">
        <f t="shared" si="257"/>
        <v>290</v>
      </c>
    </row>
    <row r="1263" spans="1:18" ht="33">
      <c r="A1263" s="62" t="str">
        <f ca="1">IF(ISERROR(MATCH(E1263,Код_КВР,0)),"",INDIRECT(ADDRESS(MATCH(E1263,Код_КВР,0)+1,2,,,"КВР")))</f>
        <v>Предоставление субсидий бюджетным, автономным учреждениям и иным некоммерческим организациям</v>
      </c>
      <c r="B1263" s="46" t="s">
        <v>129</v>
      </c>
      <c r="C1263" s="8" t="s">
        <v>224</v>
      </c>
      <c r="D1263" s="1" t="s">
        <v>196</v>
      </c>
      <c r="E1263" s="115">
        <v>600</v>
      </c>
      <c r="F1263" s="7">
        <f t="shared" si="267"/>
        <v>290</v>
      </c>
      <c r="G1263" s="7">
        <f t="shared" si="267"/>
        <v>0</v>
      </c>
      <c r="H1263" s="36">
        <f t="shared" si="263"/>
        <v>290</v>
      </c>
      <c r="I1263" s="7">
        <f t="shared" si="267"/>
        <v>0</v>
      </c>
      <c r="J1263" s="36">
        <f t="shared" si="262"/>
        <v>290</v>
      </c>
      <c r="K1263" s="7">
        <f t="shared" si="267"/>
        <v>0</v>
      </c>
      <c r="L1263" s="36">
        <f t="shared" si="268"/>
        <v>290</v>
      </c>
      <c r="M1263" s="7">
        <f t="shared" si="267"/>
        <v>0</v>
      </c>
      <c r="N1263" s="36">
        <f t="shared" si="269"/>
        <v>290</v>
      </c>
      <c r="O1263" s="7">
        <f t="shared" si="267"/>
        <v>0</v>
      </c>
      <c r="P1263" s="36">
        <f t="shared" si="260"/>
        <v>290</v>
      </c>
      <c r="Q1263" s="7">
        <f t="shared" si="267"/>
        <v>0</v>
      </c>
      <c r="R1263" s="36">
        <f t="shared" si="257"/>
        <v>290</v>
      </c>
    </row>
    <row r="1264" spans="1:18" ht="12.75">
      <c r="A1264" s="62" t="str">
        <f ca="1">IF(ISERROR(MATCH(E1264,Код_КВР,0)),"",INDIRECT(ADDRESS(MATCH(E1264,Код_КВР,0)+1,2,,,"КВР")))</f>
        <v>Субсидии бюджетным учреждениям</v>
      </c>
      <c r="B1264" s="46" t="s">
        <v>129</v>
      </c>
      <c r="C1264" s="8" t="s">
        <v>224</v>
      </c>
      <c r="D1264" s="1" t="s">
        <v>196</v>
      </c>
      <c r="E1264" s="115">
        <v>610</v>
      </c>
      <c r="F1264" s="7">
        <f t="shared" si="267"/>
        <v>290</v>
      </c>
      <c r="G1264" s="7">
        <f t="shared" si="267"/>
        <v>0</v>
      </c>
      <c r="H1264" s="36">
        <f t="shared" si="263"/>
        <v>290</v>
      </c>
      <c r="I1264" s="7">
        <f t="shared" si="267"/>
        <v>0</v>
      </c>
      <c r="J1264" s="36">
        <f t="shared" si="262"/>
        <v>290</v>
      </c>
      <c r="K1264" s="7">
        <f t="shared" si="267"/>
        <v>0</v>
      </c>
      <c r="L1264" s="36">
        <f t="shared" si="268"/>
        <v>290</v>
      </c>
      <c r="M1264" s="7">
        <f t="shared" si="267"/>
        <v>0</v>
      </c>
      <c r="N1264" s="36">
        <f t="shared" si="269"/>
        <v>290</v>
      </c>
      <c r="O1264" s="7">
        <f t="shared" si="267"/>
        <v>0</v>
      </c>
      <c r="P1264" s="36">
        <f t="shared" si="260"/>
        <v>290</v>
      </c>
      <c r="Q1264" s="7">
        <f t="shared" si="267"/>
        <v>0</v>
      </c>
      <c r="R1264" s="36">
        <f t="shared" si="257"/>
        <v>290</v>
      </c>
    </row>
    <row r="1265" spans="1:18" ht="12.75">
      <c r="A1265" s="62" t="str">
        <f ca="1">IF(ISERROR(MATCH(E1265,Код_КВР,0)),"",INDIRECT(ADDRESS(MATCH(E1265,Код_КВР,0)+1,2,,,"КВР")))</f>
        <v>Субсидии бюджетным учреждениям на иные цели</v>
      </c>
      <c r="B1265" s="46" t="s">
        <v>129</v>
      </c>
      <c r="C1265" s="8" t="s">
        <v>224</v>
      </c>
      <c r="D1265" s="1" t="s">
        <v>196</v>
      </c>
      <c r="E1265" s="115">
        <v>612</v>
      </c>
      <c r="F1265" s="7">
        <f>'прил.5'!G254</f>
        <v>290</v>
      </c>
      <c r="G1265" s="7">
        <f>'прил.5'!H254</f>
        <v>0</v>
      </c>
      <c r="H1265" s="36">
        <f t="shared" si="263"/>
        <v>290</v>
      </c>
      <c r="I1265" s="7">
        <f>'прил.5'!J254</f>
        <v>0</v>
      </c>
      <c r="J1265" s="36">
        <f t="shared" si="262"/>
        <v>290</v>
      </c>
      <c r="K1265" s="7">
        <f>'прил.5'!L254</f>
        <v>0</v>
      </c>
      <c r="L1265" s="36">
        <f t="shared" si="268"/>
        <v>290</v>
      </c>
      <c r="M1265" s="7">
        <f>'прил.5'!N254</f>
        <v>0</v>
      </c>
      <c r="N1265" s="36">
        <f t="shared" si="269"/>
        <v>290</v>
      </c>
      <c r="O1265" s="7">
        <f>'прил.5'!P254</f>
        <v>0</v>
      </c>
      <c r="P1265" s="36">
        <f t="shared" si="260"/>
        <v>290</v>
      </c>
      <c r="Q1265" s="7">
        <f>'прил.5'!R254</f>
        <v>0</v>
      </c>
      <c r="R1265" s="36">
        <f t="shared" si="257"/>
        <v>290</v>
      </c>
    </row>
    <row r="1266" spans="1:18" ht="33">
      <c r="A1266" s="62" t="str">
        <f ca="1">IF(ISERROR(MATCH(B1266,Код_КЦСР,0)),"",INDIRECT(ADDRESS(MATCH(B1266,Код_КЦСР,0)+1,2,,,"КЦСР")))</f>
        <v>Материально-техническое обеспечение деятельности работников местного самоуправления</v>
      </c>
      <c r="B1266" s="46" t="s">
        <v>131</v>
      </c>
      <c r="C1266" s="8"/>
      <c r="D1266" s="1"/>
      <c r="E1266" s="115"/>
      <c r="F1266" s="7">
        <f>F1267</f>
        <v>74353.2</v>
      </c>
      <c r="G1266" s="7">
        <f>G1267</f>
        <v>0</v>
      </c>
      <c r="H1266" s="36">
        <f t="shared" si="263"/>
        <v>74353.2</v>
      </c>
      <c r="I1266" s="7">
        <f>I1267</f>
        <v>1364.5</v>
      </c>
      <c r="J1266" s="36">
        <f t="shared" si="262"/>
        <v>75717.7</v>
      </c>
      <c r="K1266" s="7">
        <f>K1267</f>
        <v>0</v>
      </c>
      <c r="L1266" s="36">
        <f t="shared" si="268"/>
        <v>75717.7</v>
      </c>
      <c r="M1266" s="7">
        <f>M1267</f>
        <v>0</v>
      </c>
      <c r="N1266" s="36">
        <f t="shared" si="269"/>
        <v>75717.7</v>
      </c>
      <c r="O1266" s="7">
        <f>O1267</f>
        <v>0</v>
      </c>
      <c r="P1266" s="36">
        <f t="shared" si="260"/>
        <v>75717.7</v>
      </c>
      <c r="Q1266" s="7">
        <f>Q1267</f>
        <v>289</v>
      </c>
      <c r="R1266" s="36">
        <f t="shared" si="257"/>
        <v>76006.7</v>
      </c>
    </row>
    <row r="1267" spans="1:18" ht="12.75">
      <c r="A1267" s="62" t="str">
        <f ca="1">IF(ISERROR(MATCH(C1267,Код_Раздел,0)),"",INDIRECT(ADDRESS(MATCH(C1267,Код_Раздел,0)+1,2,,,"Раздел")))</f>
        <v>Общегосударственные  вопросы</v>
      </c>
      <c r="B1267" s="46" t="s">
        <v>131</v>
      </c>
      <c r="C1267" s="8" t="s">
        <v>221</v>
      </c>
      <c r="D1267" s="1"/>
      <c r="E1267" s="115"/>
      <c r="F1267" s="7">
        <f>F1268</f>
        <v>74353.2</v>
      </c>
      <c r="G1267" s="7">
        <f>G1268</f>
        <v>0</v>
      </c>
      <c r="H1267" s="36">
        <f t="shared" si="263"/>
        <v>74353.2</v>
      </c>
      <c r="I1267" s="7">
        <f>I1268</f>
        <v>1364.5</v>
      </c>
      <c r="J1267" s="36">
        <f t="shared" si="262"/>
        <v>75717.7</v>
      </c>
      <c r="K1267" s="7">
        <f>K1268</f>
        <v>0</v>
      </c>
      <c r="L1267" s="36">
        <f t="shared" si="268"/>
        <v>75717.7</v>
      </c>
      <c r="M1267" s="7">
        <f>M1268</f>
        <v>0</v>
      </c>
      <c r="N1267" s="36">
        <f t="shared" si="269"/>
        <v>75717.7</v>
      </c>
      <c r="O1267" s="7">
        <f>O1268</f>
        <v>0</v>
      </c>
      <c r="P1267" s="36">
        <f t="shared" si="260"/>
        <v>75717.7</v>
      </c>
      <c r="Q1267" s="7">
        <f>Q1268</f>
        <v>289</v>
      </c>
      <c r="R1267" s="36">
        <f t="shared" si="257"/>
        <v>76006.7</v>
      </c>
    </row>
    <row r="1268" spans="1:18" ht="12.75">
      <c r="A1268" s="12" t="s">
        <v>245</v>
      </c>
      <c r="B1268" s="46" t="s">
        <v>131</v>
      </c>
      <c r="C1268" s="8" t="s">
        <v>221</v>
      </c>
      <c r="D1268" s="1" t="s">
        <v>198</v>
      </c>
      <c r="E1268" s="115"/>
      <c r="F1268" s="7">
        <f>F1269+F1271+F1274</f>
        <v>74353.2</v>
      </c>
      <c r="G1268" s="7">
        <f>G1269+G1271+G1274</f>
        <v>0</v>
      </c>
      <c r="H1268" s="36">
        <f t="shared" si="263"/>
        <v>74353.2</v>
      </c>
      <c r="I1268" s="7">
        <f>I1269+I1271+I1274</f>
        <v>1364.5</v>
      </c>
      <c r="J1268" s="36">
        <f t="shared" si="262"/>
        <v>75717.7</v>
      </c>
      <c r="K1268" s="7">
        <f>K1269+K1271+K1274</f>
        <v>0</v>
      </c>
      <c r="L1268" s="36">
        <f t="shared" si="268"/>
        <v>75717.7</v>
      </c>
      <c r="M1268" s="7">
        <f>M1269+M1271+M1274</f>
        <v>0</v>
      </c>
      <c r="N1268" s="36">
        <f t="shared" si="269"/>
        <v>75717.7</v>
      </c>
      <c r="O1268" s="7">
        <f>O1269+O1271+O1274</f>
        <v>0</v>
      </c>
      <c r="P1268" s="36">
        <f t="shared" si="260"/>
        <v>75717.7</v>
      </c>
      <c r="Q1268" s="7">
        <f>Q1269+Q1271+Q1274</f>
        <v>289</v>
      </c>
      <c r="R1268" s="36">
        <f t="shared" si="257"/>
        <v>76006.7</v>
      </c>
    </row>
    <row r="1269" spans="1:18" ht="33">
      <c r="A1269" s="62" t="str">
        <f aca="true" t="shared" si="270" ref="A1269:A1277">IF(ISERROR(MATCH(E1269,Код_КВР,0)),"",INDIRECT(ADDRESS(MATCH(E1269,Код_КВР,0)+1,2,,,"КВР")))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9" s="46" t="s">
        <v>131</v>
      </c>
      <c r="C1269" s="8" t="s">
        <v>221</v>
      </c>
      <c r="D1269" s="1" t="s">
        <v>198</v>
      </c>
      <c r="E1269" s="115">
        <v>100</v>
      </c>
      <c r="F1269" s="7">
        <f>F1270</f>
        <v>37037.1</v>
      </c>
      <c r="G1269" s="7">
        <f>G1270</f>
        <v>0</v>
      </c>
      <c r="H1269" s="36">
        <f t="shared" si="263"/>
        <v>37037.1</v>
      </c>
      <c r="I1269" s="7">
        <f>I1270</f>
        <v>431.7</v>
      </c>
      <c r="J1269" s="36">
        <f t="shared" si="262"/>
        <v>37468.799999999996</v>
      </c>
      <c r="K1269" s="7">
        <f>K1270</f>
        <v>0</v>
      </c>
      <c r="L1269" s="36">
        <f t="shared" si="268"/>
        <v>37468.799999999996</v>
      </c>
      <c r="M1269" s="7">
        <f>M1270</f>
        <v>0</v>
      </c>
      <c r="N1269" s="36">
        <f t="shared" si="269"/>
        <v>37468.799999999996</v>
      </c>
      <c r="O1269" s="7">
        <f>O1270</f>
        <v>0</v>
      </c>
      <c r="P1269" s="36">
        <f t="shared" si="260"/>
        <v>37468.799999999996</v>
      </c>
      <c r="Q1269" s="7">
        <f>Q1270</f>
        <v>0</v>
      </c>
      <c r="R1269" s="36">
        <f t="shared" si="257"/>
        <v>37468.799999999996</v>
      </c>
    </row>
    <row r="1270" spans="1:18" ht="12.75">
      <c r="A1270" s="62" t="str">
        <f ca="1" t="shared" si="270"/>
        <v>Расходы на выплаты персоналу казенных учреждений</v>
      </c>
      <c r="B1270" s="46" t="s">
        <v>131</v>
      </c>
      <c r="C1270" s="8" t="s">
        <v>221</v>
      </c>
      <c r="D1270" s="1" t="s">
        <v>198</v>
      </c>
      <c r="E1270" s="115">
        <v>110</v>
      </c>
      <c r="F1270" s="7">
        <f>'прил.5'!G115</f>
        <v>37037.1</v>
      </c>
      <c r="G1270" s="7">
        <f>'прил.5'!H115</f>
        <v>0</v>
      </c>
      <c r="H1270" s="36">
        <f t="shared" si="263"/>
        <v>37037.1</v>
      </c>
      <c r="I1270" s="7">
        <f>'прил.5'!J115</f>
        <v>431.7</v>
      </c>
      <c r="J1270" s="36">
        <f t="shared" si="262"/>
        <v>37468.799999999996</v>
      </c>
      <c r="K1270" s="7">
        <f>'прил.5'!L115</f>
        <v>0</v>
      </c>
      <c r="L1270" s="36">
        <f t="shared" si="268"/>
        <v>37468.799999999996</v>
      </c>
      <c r="M1270" s="7">
        <f>'прил.5'!N115</f>
        <v>0</v>
      </c>
      <c r="N1270" s="36">
        <f t="shared" si="269"/>
        <v>37468.799999999996</v>
      </c>
      <c r="O1270" s="7">
        <f>'прил.5'!P115</f>
        <v>0</v>
      </c>
      <c r="P1270" s="36">
        <f t="shared" si="260"/>
        <v>37468.799999999996</v>
      </c>
      <c r="Q1270" s="7">
        <f>'прил.5'!R115</f>
        <v>0</v>
      </c>
      <c r="R1270" s="36">
        <f t="shared" si="257"/>
        <v>37468.799999999996</v>
      </c>
    </row>
    <row r="1271" spans="1:18" ht="12.75">
      <c r="A1271" s="62" t="str">
        <f ca="1" t="shared" si="270"/>
        <v>Закупка товаров, работ и услуг для муниципальных нужд</v>
      </c>
      <c r="B1271" s="46" t="s">
        <v>131</v>
      </c>
      <c r="C1271" s="8" t="s">
        <v>221</v>
      </c>
      <c r="D1271" s="1" t="s">
        <v>198</v>
      </c>
      <c r="E1271" s="115">
        <v>200</v>
      </c>
      <c r="F1271" s="7">
        <f>F1272</f>
        <v>34357.8</v>
      </c>
      <c r="G1271" s="7">
        <f>G1272</f>
        <v>0</v>
      </c>
      <c r="H1271" s="36">
        <f t="shared" si="263"/>
        <v>34357.8</v>
      </c>
      <c r="I1271" s="7">
        <f>I1272</f>
        <v>932.8</v>
      </c>
      <c r="J1271" s="36">
        <f t="shared" si="262"/>
        <v>35290.600000000006</v>
      </c>
      <c r="K1271" s="7">
        <f>K1272</f>
        <v>0</v>
      </c>
      <c r="L1271" s="36">
        <f t="shared" si="268"/>
        <v>35290.600000000006</v>
      </c>
      <c r="M1271" s="7">
        <f>M1272</f>
        <v>0</v>
      </c>
      <c r="N1271" s="36">
        <f t="shared" si="269"/>
        <v>35290.600000000006</v>
      </c>
      <c r="O1271" s="7">
        <f>O1272</f>
        <v>0</v>
      </c>
      <c r="P1271" s="36">
        <f t="shared" si="260"/>
        <v>35290.600000000006</v>
      </c>
      <c r="Q1271" s="7">
        <f>Q1272</f>
        <v>289</v>
      </c>
      <c r="R1271" s="36">
        <f t="shared" si="257"/>
        <v>35579.600000000006</v>
      </c>
    </row>
    <row r="1272" spans="1:18" ht="33">
      <c r="A1272" s="62" t="str">
        <f ca="1" t="shared" si="270"/>
        <v>Иные закупки товаров, работ и услуг для обеспечения муниципальных нужд</v>
      </c>
      <c r="B1272" s="46" t="s">
        <v>131</v>
      </c>
      <c r="C1272" s="8" t="s">
        <v>221</v>
      </c>
      <c r="D1272" s="1" t="s">
        <v>198</v>
      </c>
      <c r="E1272" s="115">
        <v>240</v>
      </c>
      <c r="F1272" s="7">
        <f>F1273</f>
        <v>34357.8</v>
      </c>
      <c r="G1272" s="7">
        <f>G1273</f>
        <v>0</v>
      </c>
      <c r="H1272" s="36">
        <f t="shared" si="263"/>
        <v>34357.8</v>
      </c>
      <c r="I1272" s="7">
        <f>I1273</f>
        <v>932.8</v>
      </c>
      <c r="J1272" s="36">
        <f t="shared" si="262"/>
        <v>35290.600000000006</v>
      </c>
      <c r="K1272" s="7">
        <f>K1273</f>
        <v>0</v>
      </c>
      <c r="L1272" s="36">
        <f t="shared" si="268"/>
        <v>35290.600000000006</v>
      </c>
      <c r="M1272" s="7">
        <f>M1273</f>
        <v>0</v>
      </c>
      <c r="N1272" s="36">
        <f t="shared" si="269"/>
        <v>35290.600000000006</v>
      </c>
      <c r="O1272" s="7">
        <f>O1273</f>
        <v>0</v>
      </c>
      <c r="P1272" s="36">
        <f t="shared" si="260"/>
        <v>35290.600000000006</v>
      </c>
      <c r="Q1272" s="7">
        <f>Q1273</f>
        <v>289</v>
      </c>
      <c r="R1272" s="36">
        <f t="shared" si="257"/>
        <v>35579.600000000006</v>
      </c>
    </row>
    <row r="1273" spans="1:18" ht="33">
      <c r="A1273" s="62" t="str">
        <f ca="1" t="shared" si="270"/>
        <v xml:space="preserve">Прочая закупка товаров, работ и услуг для обеспечения муниципальных нужд         </v>
      </c>
      <c r="B1273" s="46" t="s">
        <v>131</v>
      </c>
      <c r="C1273" s="8" t="s">
        <v>221</v>
      </c>
      <c r="D1273" s="1" t="s">
        <v>198</v>
      </c>
      <c r="E1273" s="115">
        <v>244</v>
      </c>
      <c r="F1273" s="7">
        <f>'прил.5'!G118</f>
        <v>34357.8</v>
      </c>
      <c r="G1273" s="7">
        <f>'прил.5'!H118</f>
        <v>0</v>
      </c>
      <c r="H1273" s="36">
        <f t="shared" si="263"/>
        <v>34357.8</v>
      </c>
      <c r="I1273" s="7">
        <f>'прил.5'!J118</f>
        <v>932.8</v>
      </c>
      <c r="J1273" s="36">
        <f t="shared" si="262"/>
        <v>35290.600000000006</v>
      </c>
      <c r="K1273" s="7">
        <f>'прил.5'!L118</f>
        <v>0</v>
      </c>
      <c r="L1273" s="36">
        <f t="shared" si="268"/>
        <v>35290.600000000006</v>
      </c>
      <c r="M1273" s="7">
        <f>'прил.5'!N118</f>
        <v>0</v>
      </c>
      <c r="N1273" s="36">
        <f t="shared" si="269"/>
        <v>35290.600000000006</v>
      </c>
      <c r="O1273" s="7">
        <f>'прил.5'!P118</f>
        <v>0</v>
      </c>
      <c r="P1273" s="36">
        <f t="shared" si="260"/>
        <v>35290.600000000006</v>
      </c>
      <c r="Q1273" s="7">
        <f>'прил.5'!R118</f>
        <v>289</v>
      </c>
      <c r="R1273" s="36">
        <f t="shared" si="257"/>
        <v>35579.600000000006</v>
      </c>
    </row>
    <row r="1274" spans="1:18" ht="12.75">
      <c r="A1274" s="62" t="str">
        <f ca="1" t="shared" si="270"/>
        <v>Иные бюджетные ассигнования</v>
      </c>
      <c r="B1274" s="46" t="s">
        <v>131</v>
      </c>
      <c r="C1274" s="8" t="s">
        <v>221</v>
      </c>
      <c r="D1274" s="1" t="s">
        <v>198</v>
      </c>
      <c r="E1274" s="115">
        <v>800</v>
      </c>
      <c r="F1274" s="7">
        <f>F1275</f>
        <v>2958.2999999999997</v>
      </c>
      <c r="G1274" s="7">
        <f>G1275</f>
        <v>0</v>
      </c>
      <c r="H1274" s="36">
        <f t="shared" si="263"/>
        <v>2958.2999999999997</v>
      </c>
      <c r="I1274" s="7">
        <f>I1275</f>
        <v>0</v>
      </c>
      <c r="J1274" s="36">
        <f t="shared" si="262"/>
        <v>2958.2999999999997</v>
      </c>
      <c r="K1274" s="7">
        <f>K1275</f>
        <v>0</v>
      </c>
      <c r="L1274" s="36">
        <f t="shared" si="268"/>
        <v>2958.2999999999997</v>
      </c>
      <c r="M1274" s="7">
        <f>M1275</f>
        <v>0</v>
      </c>
      <c r="N1274" s="36">
        <f t="shared" si="269"/>
        <v>2958.2999999999997</v>
      </c>
      <c r="O1274" s="7">
        <f>O1275</f>
        <v>0</v>
      </c>
      <c r="P1274" s="36">
        <f t="shared" si="260"/>
        <v>2958.2999999999997</v>
      </c>
      <c r="Q1274" s="7">
        <f>Q1275</f>
        <v>0</v>
      </c>
      <c r="R1274" s="36">
        <f t="shared" si="257"/>
        <v>2958.2999999999997</v>
      </c>
    </row>
    <row r="1275" spans="1:18" ht="12.75">
      <c r="A1275" s="62" t="str">
        <f ca="1" t="shared" si="270"/>
        <v>Уплата налогов, сборов и иных платежей</v>
      </c>
      <c r="B1275" s="46" t="s">
        <v>131</v>
      </c>
      <c r="C1275" s="8" t="s">
        <v>221</v>
      </c>
      <c r="D1275" s="1" t="s">
        <v>198</v>
      </c>
      <c r="E1275" s="115">
        <v>850</v>
      </c>
      <c r="F1275" s="7">
        <f>SUM(F1276:F1277)</f>
        <v>2958.2999999999997</v>
      </c>
      <c r="G1275" s="7">
        <f>SUM(G1276:G1277)</f>
        <v>0</v>
      </c>
      <c r="H1275" s="36">
        <f t="shared" si="263"/>
        <v>2958.2999999999997</v>
      </c>
      <c r="I1275" s="7">
        <f>SUM(I1276:I1277)</f>
        <v>0</v>
      </c>
      <c r="J1275" s="36">
        <f t="shared" si="262"/>
        <v>2958.2999999999997</v>
      </c>
      <c r="K1275" s="7">
        <f>SUM(K1276:K1277)</f>
        <v>0</v>
      </c>
      <c r="L1275" s="36">
        <f t="shared" si="268"/>
        <v>2958.2999999999997</v>
      </c>
      <c r="M1275" s="7">
        <f>SUM(M1276:M1277)</f>
        <v>0</v>
      </c>
      <c r="N1275" s="36">
        <f t="shared" si="269"/>
        <v>2958.2999999999997</v>
      </c>
      <c r="O1275" s="7">
        <f>SUM(O1276:O1277)</f>
        <v>0</v>
      </c>
      <c r="P1275" s="36">
        <f t="shared" si="260"/>
        <v>2958.2999999999997</v>
      </c>
      <c r="Q1275" s="7">
        <f>SUM(Q1276:Q1277)</f>
        <v>0</v>
      </c>
      <c r="R1275" s="36">
        <f t="shared" si="257"/>
        <v>2958.2999999999997</v>
      </c>
    </row>
    <row r="1276" spans="1:18" ht="12.75">
      <c r="A1276" s="62" t="str">
        <f ca="1" t="shared" si="270"/>
        <v>Уплата налога на имущество организаций и земельного налога</v>
      </c>
      <c r="B1276" s="46" t="s">
        <v>131</v>
      </c>
      <c r="C1276" s="8" t="s">
        <v>221</v>
      </c>
      <c r="D1276" s="1" t="s">
        <v>198</v>
      </c>
      <c r="E1276" s="115">
        <v>851</v>
      </c>
      <c r="F1276" s="7">
        <f>'прил.5'!G121</f>
        <v>2591.6</v>
      </c>
      <c r="G1276" s="7">
        <f>'прил.5'!H121</f>
        <v>0</v>
      </c>
      <c r="H1276" s="36">
        <f t="shared" si="263"/>
        <v>2591.6</v>
      </c>
      <c r="I1276" s="7">
        <f>'прил.5'!J121</f>
        <v>0</v>
      </c>
      <c r="J1276" s="36">
        <f t="shared" si="262"/>
        <v>2591.6</v>
      </c>
      <c r="K1276" s="7">
        <f>'прил.5'!L121</f>
        <v>0</v>
      </c>
      <c r="L1276" s="36">
        <f t="shared" si="268"/>
        <v>2591.6</v>
      </c>
      <c r="M1276" s="7">
        <f>'прил.5'!N121</f>
        <v>0</v>
      </c>
      <c r="N1276" s="36">
        <f t="shared" si="269"/>
        <v>2591.6</v>
      </c>
      <c r="O1276" s="7">
        <f>'прил.5'!P121</f>
        <v>0</v>
      </c>
      <c r="P1276" s="36">
        <f t="shared" si="260"/>
        <v>2591.6</v>
      </c>
      <c r="Q1276" s="7">
        <f>'прил.5'!R121</f>
        <v>0</v>
      </c>
      <c r="R1276" s="36">
        <f t="shared" si="257"/>
        <v>2591.6</v>
      </c>
    </row>
    <row r="1277" spans="1:18" ht="12.75">
      <c r="A1277" s="62" t="str">
        <f ca="1" t="shared" si="270"/>
        <v>Уплата прочих налогов, сборов и иных платежей</v>
      </c>
      <c r="B1277" s="46" t="s">
        <v>131</v>
      </c>
      <c r="C1277" s="8" t="s">
        <v>221</v>
      </c>
      <c r="D1277" s="1" t="s">
        <v>198</v>
      </c>
      <c r="E1277" s="115">
        <v>852</v>
      </c>
      <c r="F1277" s="7">
        <f>'прил.5'!G122</f>
        <v>366.7</v>
      </c>
      <c r="G1277" s="7">
        <f>'прил.5'!H122</f>
        <v>0</v>
      </c>
      <c r="H1277" s="36">
        <f t="shared" si="263"/>
        <v>366.7</v>
      </c>
      <c r="I1277" s="7">
        <f>'прил.5'!J122</f>
        <v>0</v>
      </c>
      <c r="J1277" s="36">
        <f t="shared" si="262"/>
        <v>366.7</v>
      </c>
      <c r="K1277" s="7">
        <f>'прил.5'!L122</f>
        <v>0</v>
      </c>
      <c r="L1277" s="36">
        <f t="shared" si="268"/>
        <v>366.7</v>
      </c>
      <c r="M1277" s="7">
        <f>'прил.5'!N122</f>
        <v>0</v>
      </c>
      <c r="N1277" s="36">
        <f t="shared" si="269"/>
        <v>366.7</v>
      </c>
      <c r="O1277" s="7">
        <f>'прил.5'!P122</f>
        <v>0</v>
      </c>
      <c r="P1277" s="36">
        <f t="shared" si="260"/>
        <v>366.7</v>
      </c>
      <c r="Q1277" s="7">
        <f>'прил.5'!R122</f>
        <v>0</v>
      </c>
      <c r="R1277" s="36">
        <f t="shared" si="257"/>
        <v>366.7</v>
      </c>
    </row>
    <row r="1278" spans="1:18" ht="12.75">
      <c r="A1278" s="62" t="str">
        <f ca="1">IF(ISERROR(MATCH(B1278,Код_КЦСР,0)),"",INDIRECT(ADDRESS(MATCH(B1278,Код_КЦСР,0)+1,2,,,"КЦСР")))</f>
        <v>Развитие муниципальной службы в мэрии города Череповца</v>
      </c>
      <c r="B1278" s="46" t="s">
        <v>133</v>
      </c>
      <c r="C1278" s="8"/>
      <c r="D1278" s="1"/>
      <c r="E1278" s="115"/>
      <c r="F1278" s="7">
        <f>F1279+F1285</f>
        <v>13790</v>
      </c>
      <c r="G1278" s="7">
        <f>G1279+G1285</f>
        <v>0</v>
      </c>
      <c r="H1278" s="36">
        <f t="shared" si="263"/>
        <v>13790</v>
      </c>
      <c r="I1278" s="7">
        <f>I1279+I1285</f>
        <v>0</v>
      </c>
      <c r="J1278" s="36">
        <f t="shared" si="262"/>
        <v>13790</v>
      </c>
      <c r="K1278" s="7">
        <f>K1279+K1285</f>
        <v>-77</v>
      </c>
      <c r="L1278" s="36">
        <f t="shared" si="268"/>
        <v>13713</v>
      </c>
      <c r="M1278" s="7">
        <f>M1279+M1285</f>
        <v>0</v>
      </c>
      <c r="N1278" s="36">
        <f t="shared" si="269"/>
        <v>13713</v>
      </c>
      <c r="O1278" s="7">
        <f>O1279+O1285</f>
        <v>0</v>
      </c>
      <c r="P1278" s="36">
        <f t="shared" si="260"/>
        <v>13713</v>
      </c>
      <c r="Q1278" s="7">
        <f>Q1279+Q1285</f>
        <v>0</v>
      </c>
      <c r="R1278" s="36">
        <f t="shared" si="257"/>
        <v>13713</v>
      </c>
    </row>
    <row r="1279" spans="1:18" ht="49.5">
      <c r="A1279" s="62" t="str">
        <f ca="1">IF(ISERROR(MATCH(B1279,Код_КЦСР,0)),"",INDIRECT(ADDRESS(MATCH(B1279,Код_КЦСР,0)+1,2,,,"КЦСР")))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279" s="46" t="s">
        <v>135</v>
      </c>
      <c r="C1279" s="8"/>
      <c r="D1279" s="1"/>
      <c r="E1279" s="115"/>
      <c r="F1279" s="7">
        <f aca="true" t="shared" si="271" ref="F1279:Q1283">F1280</f>
        <v>350</v>
      </c>
      <c r="G1279" s="7">
        <f t="shared" si="271"/>
        <v>0</v>
      </c>
      <c r="H1279" s="36">
        <f t="shared" si="263"/>
        <v>350</v>
      </c>
      <c r="I1279" s="7">
        <f t="shared" si="271"/>
        <v>0</v>
      </c>
      <c r="J1279" s="36">
        <f t="shared" si="262"/>
        <v>350</v>
      </c>
      <c r="K1279" s="7">
        <f t="shared" si="271"/>
        <v>-77</v>
      </c>
      <c r="L1279" s="36">
        <f t="shared" si="268"/>
        <v>273</v>
      </c>
      <c r="M1279" s="7">
        <f t="shared" si="271"/>
        <v>0</v>
      </c>
      <c r="N1279" s="36">
        <f t="shared" si="269"/>
        <v>273</v>
      </c>
      <c r="O1279" s="7">
        <f t="shared" si="271"/>
        <v>0</v>
      </c>
      <c r="P1279" s="36">
        <f t="shared" si="260"/>
        <v>273</v>
      </c>
      <c r="Q1279" s="7">
        <f t="shared" si="271"/>
        <v>0</v>
      </c>
      <c r="R1279" s="36">
        <f t="shared" si="257"/>
        <v>273</v>
      </c>
    </row>
    <row r="1280" spans="1:18" ht="12.75">
      <c r="A1280" s="62" t="str">
        <f ca="1">IF(ISERROR(MATCH(C1280,Код_Раздел,0)),"",INDIRECT(ADDRESS(MATCH(C1280,Код_Раздел,0)+1,2,,,"Раздел")))</f>
        <v>Общегосударственные  вопросы</v>
      </c>
      <c r="B1280" s="46" t="s">
        <v>135</v>
      </c>
      <c r="C1280" s="8" t="s">
        <v>221</v>
      </c>
      <c r="D1280" s="1"/>
      <c r="E1280" s="115"/>
      <c r="F1280" s="7">
        <f t="shared" si="271"/>
        <v>350</v>
      </c>
      <c r="G1280" s="7">
        <f t="shared" si="271"/>
        <v>0</v>
      </c>
      <c r="H1280" s="36">
        <f t="shared" si="263"/>
        <v>350</v>
      </c>
      <c r="I1280" s="7">
        <f t="shared" si="271"/>
        <v>0</v>
      </c>
      <c r="J1280" s="36">
        <f t="shared" si="262"/>
        <v>350</v>
      </c>
      <c r="K1280" s="7">
        <f t="shared" si="271"/>
        <v>-77</v>
      </c>
      <c r="L1280" s="36">
        <f t="shared" si="268"/>
        <v>273</v>
      </c>
      <c r="M1280" s="7">
        <f t="shared" si="271"/>
        <v>0</v>
      </c>
      <c r="N1280" s="36">
        <f t="shared" si="269"/>
        <v>273</v>
      </c>
      <c r="O1280" s="7">
        <f t="shared" si="271"/>
        <v>0</v>
      </c>
      <c r="P1280" s="36">
        <f t="shared" si="260"/>
        <v>273</v>
      </c>
      <c r="Q1280" s="7">
        <f t="shared" si="271"/>
        <v>0</v>
      </c>
      <c r="R1280" s="36">
        <f t="shared" si="257"/>
        <v>273</v>
      </c>
    </row>
    <row r="1281" spans="1:18" ht="12.75">
      <c r="A1281" s="12" t="s">
        <v>245</v>
      </c>
      <c r="B1281" s="46" t="s">
        <v>135</v>
      </c>
      <c r="C1281" s="8" t="s">
        <v>221</v>
      </c>
      <c r="D1281" s="1" t="s">
        <v>198</v>
      </c>
      <c r="E1281" s="115"/>
      <c r="F1281" s="7">
        <f t="shared" si="271"/>
        <v>350</v>
      </c>
      <c r="G1281" s="7">
        <f t="shared" si="271"/>
        <v>0</v>
      </c>
      <c r="H1281" s="36">
        <f t="shared" si="263"/>
        <v>350</v>
      </c>
      <c r="I1281" s="7">
        <f t="shared" si="271"/>
        <v>0</v>
      </c>
      <c r="J1281" s="36">
        <f t="shared" si="262"/>
        <v>350</v>
      </c>
      <c r="K1281" s="7">
        <f t="shared" si="271"/>
        <v>-77</v>
      </c>
      <c r="L1281" s="36">
        <f t="shared" si="268"/>
        <v>273</v>
      </c>
      <c r="M1281" s="7">
        <f t="shared" si="271"/>
        <v>0</v>
      </c>
      <c r="N1281" s="36">
        <f t="shared" si="269"/>
        <v>273</v>
      </c>
      <c r="O1281" s="7">
        <f t="shared" si="271"/>
        <v>0</v>
      </c>
      <c r="P1281" s="36">
        <f t="shared" si="260"/>
        <v>273</v>
      </c>
      <c r="Q1281" s="7">
        <f t="shared" si="271"/>
        <v>0</v>
      </c>
      <c r="R1281" s="36">
        <f t="shared" si="257"/>
        <v>273</v>
      </c>
    </row>
    <row r="1282" spans="1:18" ht="12.75">
      <c r="A1282" s="62" t="str">
        <f ca="1">IF(ISERROR(MATCH(E1282,Код_КВР,0)),"",INDIRECT(ADDRESS(MATCH(E1282,Код_КВР,0)+1,2,,,"КВР")))</f>
        <v>Закупка товаров, работ и услуг для муниципальных нужд</v>
      </c>
      <c r="B1282" s="46" t="s">
        <v>135</v>
      </c>
      <c r="C1282" s="8" t="s">
        <v>221</v>
      </c>
      <c r="D1282" s="1" t="s">
        <v>198</v>
      </c>
      <c r="E1282" s="115">
        <v>200</v>
      </c>
      <c r="F1282" s="7">
        <f t="shared" si="271"/>
        <v>350</v>
      </c>
      <c r="G1282" s="7">
        <f t="shared" si="271"/>
        <v>0</v>
      </c>
      <c r="H1282" s="36">
        <f t="shared" si="263"/>
        <v>350</v>
      </c>
      <c r="I1282" s="7">
        <f t="shared" si="271"/>
        <v>0</v>
      </c>
      <c r="J1282" s="36">
        <f t="shared" si="262"/>
        <v>350</v>
      </c>
      <c r="K1282" s="7">
        <f t="shared" si="271"/>
        <v>-77</v>
      </c>
      <c r="L1282" s="36">
        <f t="shared" si="268"/>
        <v>273</v>
      </c>
      <c r="M1282" s="7">
        <f t="shared" si="271"/>
        <v>0</v>
      </c>
      <c r="N1282" s="36">
        <f t="shared" si="269"/>
        <v>273</v>
      </c>
      <c r="O1282" s="7">
        <f t="shared" si="271"/>
        <v>0</v>
      </c>
      <c r="P1282" s="36">
        <f t="shared" si="260"/>
        <v>273</v>
      </c>
      <c r="Q1282" s="7">
        <f t="shared" si="271"/>
        <v>0</v>
      </c>
      <c r="R1282" s="36">
        <f t="shared" si="257"/>
        <v>273</v>
      </c>
    </row>
    <row r="1283" spans="1:18" ht="33">
      <c r="A1283" s="62" t="str">
        <f ca="1">IF(ISERROR(MATCH(E1283,Код_КВР,0)),"",INDIRECT(ADDRESS(MATCH(E1283,Код_КВР,0)+1,2,,,"КВР")))</f>
        <v>Иные закупки товаров, работ и услуг для обеспечения муниципальных нужд</v>
      </c>
      <c r="B1283" s="46" t="s">
        <v>135</v>
      </c>
      <c r="C1283" s="8" t="s">
        <v>221</v>
      </c>
      <c r="D1283" s="1" t="s">
        <v>198</v>
      </c>
      <c r="E1283" s="115">
        <v>240</v>
      </c>
      <c r="F1283" s="7">
        <f t="shared" si="271"/>
        <v>350</v>
      </c>
      <c r="G1283" s="7">
        <f t="shared" si="271"/>
        <v>0</v>
      </c>
      <c r="H1283" s="36">
        <f t="shared" si="263"/>
        <v>350</v>
      </c>
      <c r="I1283" s="7">
        <f t="shared" si="271"/>
        <v>0</v>
      </c>
      <c r="J1283" s="36">
        <f t="shared" si="262"/>
        <v>350</v>
      </c>
      <c r="K1283" s="7">
        <f t="shared" si="271"/>
        <v>-77</v>
      </c>
      <c r="L1283" s="36">
        <f t="shared" si="268"/>
        <v>273</v>
      </c>
      <c r="M1283" s="7">
        <f t="shared" si="271"/>
        <v>0</v>
      </c>
      <c r="N1283" s="36">
        <f t="shared" si="269"/>
        <v>273</v>
      </c>
      <c r="O1283" s="7">
        <f t="shared" si="271"/>
        <v>0</v>
      </c>
      <c r="P1283" s="36">
        <f t="shared" si="260"/>
        <v>273</v>
      </c>
      <c r="Q1283" s="7">
        <f t="shared" si="271"/>
        <v>0</v>
      </c>
      <c r="R1283" s="36">
        <f t="shared" si="257"/>
        <v>273</v>
      </c>
    </row>
    <row r="1284" spans="1:18" ht="33">
      <c r="A1284" s="62" t="str">
        <f ca="1">IF(ISERROR(MATCH(E1284,Код_КВР,0)),"",INDIRECT(ADDRESS(MATCH(E1284,Код_КВР,0)+1,2,,,"КВР")))</f>
        <v xml:space="preserve">Прочая закупка товаров, работ и услуг для обеспечения муниципальных нужд         </v>
      </c>
      <c r="B1284" s="46" t="s">
        <v>135</v>
      </c>
      <c r="C1284" s="8" t="s">
        <v>221</v>
      </c>
      <c r="D1284" s="1" t="s">
        <v>198</v>
      </c>
      <c r="E1284" s="115">
        <v>244</v>
      </c>
      <c r="F1284" s="7">
        <f>'прил.5'!G127</f>
        <v>350</v>
      </c>
      <c r="G1284" s="7">
        <f>'прил.5'!H127</f>
        <v>0</v>
      </c>
      <c r="H1284" s="36">
        <f t="shared" si="263"/>
        <v>350</v>
      </c>
      <c r="I1284" s="7">
        <f>'прил.5'!J127</f>
        <v>0</v>
      </c>
      <c r="J1284" s="36">
        <f t="shared" si="262"/>
        <v>350</v>
      </c>
      <c r="K1284" s="7">
        <f>'прил.5'!L127</f>
        <v>-77</v>
      </c>
      <c r="L1284" s="36">
        <f t="shared" si="268"/>
        <v>273</v>
      </c>
      <c r="M1284" s="7">
        <f>'прил.5'!N127</f>
        <v>0</v>
      </c>
      <c r="N1284" s="36">
        <f t="shared" si="269"/>
        <v>273</v>
      </c>
      <c r="O1284" s="7">
        <f>'прил.5'!P127</f>
        <v>0</v>
      </c>
      <c r="P1284" s="36">
        <f t="shared" si="260"/>
        <v>273</v>
      </c>
      <c r="Q1284" s="7">
        <f>'прил.5'!R127</f>
        <v>0</v>
      </c>
      <c r="R1284" s="36">
        <f t="shared" si="257"/>
        <v>273</v>
      </c>
    </row>
    <row r="1285" spans="1:18" ht="12.75">
      <c r="A1285" s="62" t="str">
        <f ca="1">IF(ISERROR(MATCH(B1285,Код_КЦСР,0)),"",INDIRECT(ADDRESS(MATCH(B1285,Код_КЦСР,0)+1,2,,,"КЦСР")))</f>
        <v>Повышение престижа муниципальной службы в городе</v>
      </c>
      <c r="B1285" s="46" t="s">
        <v>136</v>
      </c>
      <c r="C1285" s="8"/>
      <c r="D1285" s="1"/>
      <c r="E1285" s="115"/>
      <c r="F1285" s="7">
        <f aca="true" t="shared" si="272" ref="F1285:Q1288">F1286</f>
        <v>13440</v>
      </c>
      <c r="G1285" s="7">
        <f t="shared" si="272"/>
        <v>0</v>
      </c>
      <c r="H1285" s="36">
        <f t="shared" si="263"/>
        <v>13440</v>
      </c>
      <c r="I1285" s="7">
        <f t="shared" si="272"/>
        <v>0</v>
      </c>
      <c r="J1285" s="36">
        <f t="shared" si="262"/>
        <v>13440</v>
      </c>
      <c r="K1285" s="7">
        <f t="shared" si="272"/>
        <v>0</v>
      </c>
      <c r="L1285" s="36">
        <f t="shared" si="268"/>
        <v>13440</v>
      </c>
      <c r="M1285" s="7">
        <f t="shared" si="272"/>
        <v>0</v>
      </c>
      <c r="N1285" s="36">
        <f t="shared" si="269"/>
        <v>13440</v>
      </c>
      <c r="O1285" s="7">
        <f t="shared" si="272"/>
        <v>0</v>
      </c>
      <c r="P1285" s="36">
        <f t="shared" si="260"/>
        <v>13440</v>
      </c>
      <c r="Q1285" s="7">
        <f t="shared" si="272"/>
        <v>0</v>
      </c>
      <c r="R1285" s="36">
        <f t="shared" si="257"/>
        <v>13440</v>
      </c>
    </row>
    <row r="1286" spans="1:18" ht="12.75">
      <c r="A1286" s="62" t="str">
        <f ca="1">IF(ISERROR(MATCH(C1286,Код_Раздел,0)),"",INDIRECT(ADDRESS(MATCH(C1286,Код_Раздел,0)+1,2,,,"Раздел")))</f>
        <v>Социальная политика</v>
      </c>
      <c r="B1286" s="46" t="s">
        <v>136</v>
      </c>
      <c r="C1286" s="8" t="s">
        <v>196</v>
      </c>
      <c r="D1286" s="1"/>
      <c r="E1286" s="115"/>
      <c r="F1286" s="7">
        <f t="shared" si="272"/>
        <v>13440</v>
      </c>
      <c r="G1286" s="7">
        <f t="shared" si="272"/>
        <v>0</v>
      </c>
      <c r="H1286" s="36">
        <f t="shared" si="263"/>
        <v>13440</v>
      </c>
      <c r="I1286" s="7">
        <f t="shared" si="272"/>
        <v>0</v>
      </c>
      <c r="J1286" s="36">
        <f t="shared" si="262"/>
        <v>13440</v>
      </c>
      <c r="K1286" s="7">
        <f t="shared" si="272"/>
        <v>0</v>
      </c>
      <c r="L1286" s="36">
        <f t="shared" si="268"/>
        <v>13440</v>
      </c>
      <c r="M1286" s="7">
        <f t="shared" si="272"/>
        <v>0</v>
      </c>
      <c r="N1286" s="36">
        <f t="shared" si="269"/>
        <v>13440</v>
      </c>
      <c r="O1286" s="7">
        <f t="shared" si="272"/>
        <v>0</v>
      </c>
      <c r="P1286" s="36">
        <f t="shared" si="260"/>
        <v>13440</v>
      </c>
      <c r="Q1286" s="7">
        <f t="shared" si="272"/>
        <v>0</v>
      </c>
      <c r="R1286" s="36">
        <f t="shared" si="257"/>
        <v>13440</v>
      </c>
    </row>
    <row r="1287" spans="1:18" ht="12.75">
      <c r="A1287" s="12" t="s">
        <v>193</v>
      </c>
      <c r="B1287" s="46" t="s">
        <v>136</v>
      </c>
      <c r="C1287" s="8" t="s">
        <v>196</v>
      </c>
      <c r="D1287" s="1" t="s">
        <v>221</v>
      </c>
      <c r="E1287" s="115"/>
      <c r="F1287" s="7">
        <f t="shared" si="272"/>
        <v>13440</v>
      </c>
      <c r="G1287" s="7">
        <f t="shared" si="272"/>
        <v>0</v>
      </c>
      <c r="H1287" s="36">
        <f t="shared" si="263"/>
        <v>13440</v>
      </c>
      <c r="I1287" s="7">
        <f t="shared" si="272"/>
        <v>0</v>
      </c>
      <c r="J1287" s="36">
        <f t="shared" si="262"/>
        <v>13440</v>
      </c>
      <c r="K1287" s="7">
        <f t="shared" si="272"/>
        <v>0</v>
      </c>
      <c r="L1287" s="36">
        <f t="shared" si="268"/>
        <v>13440</v>
      </c>
      <c r="M1287" s="7">
        <f t="shared" si="272"/>
        <v>0</v>
      </c>
      <c r="N1287" s="36">
        <f t="shared" si="269"/>
        <v>13440</v>
      </c>
      <c r="O1287" s="7">
        <f t="shared" si="272"/>
        <v>0</v>
      </c>
      <c r="P1287" s="36">
        <f t="shared" si="260"/>
        <v>13440</v>
      </c>
      <c r="Q1287" s="7">
        <f t="shared" si="272"/>
        <v>0</v>
      </c>
      <c r="R1287" s="36">
        <f aca="true" t="shared" si="273" ref="R1287:R1350">P1287+Q1287</f>
        <v>13440</v>
      </c>
    </row>
    <row r="1288" spans="1:18" ht="12.75">
      <c r="A1288" s="62" t="str">
        <f ca="1">IF(ISERROR(MATCH(E1288,Код_КВР,0)),"",INDIRECT(ADDRESS(MATCH(E1288,Код_КВР,0)+1,2,,,"КВР")))</f>
        <v>Социальное обеспечение и иные выплаты населению</v>
      </c>
      <c r="B1288" s="46" t="s">
        <v>136</v>
      </c>
      <c r="C1288" s="8" t="s">
        <v>196</v>
      </c>
      <c r="D1288" s="1" t="s">
        <v>221</v>
      </c>
      <c r="E1288" s="115">
        <v>300</v>
      </c>
      <c r="F1288" s="7">
        <f t="shared" si="272"/>
        <v>13440</v>
      </c>
      <c r="G1288" s="7">
        <f t="shared" si="272"/>
        <v>0</v>
      </c>
      <c r="H1288" s="36">
        <f t="shared" si="263"/>
        <v>13440</v>
      </c>
      <c r="I1288" s="7">
        <f t="shared" si="272"/>
        <v>0</v>
      </c>
      <c r="J1288" s="36">
        <f t="shared" si="262"/>
        <v>13440</v>
      </c>
      <c r="K1288" s="7">
        <f t="shared" si="272"/>
        <v>0</v>
      </c>
      <c r="L1288" s="36">
        <f t="shared" si="268"/>
        <v>13440</v>
      </c>
      <c r="M1288" s="7">
        <f t="shared" si="272"/>
        <v>0</v>
      </c>
      <c r="N1288" s="36">
        <f t="shared" si="269"/>
        <v>13440</v>
      </c>
      <c r="O1288" s="7">
        <f t="shared" si="272"/>
        <v>0</v>
      </c>
      <c r="P1288" s="36">
        <f t="shared" si="260"/>
        <v>13440</v>
      </c>
      <c r="Q1288" s="7">
        <f t="shared" si="272"/>
        <v>0</v>
      </c>
      <c r="R1288" s="36">
        <f t="shared" si="273"/>
        <v>13440</v>
      </c>
    </row>
    <row r="1289" spans="1:18" ht="12.75">
      <c r="A1289" s="62" t="str">
        <f ca="1">IF(ISERROR(MATCH(E1289,Код_КВР,0)),"",INDIRECT(ADDRESS(MATCH(E1289,Код_КВР,0)+1,2,,,"КВР")))</f>
        <v>Иные выплаты населению</v>
      </c>
      <c r="B1289" s="46" t="s">
        <v>136</v>
      </c>
      <c r="C1289" s="8" t="s">
        <v>196</v>
      </c>
      <c r="D1289" s="1" t="s">
        <v>221</v>
      </c>
      <c r="E1289" s="115">
        <v>360</v>
      </c>
      <c r="F1289" s="7">
        <f>'прил.5'!G332</f>
        <v>13440</v>
      </c>
      <c r="G1289" s="7">
        <f>'прил.5'!H332</f>
        <v>0</v>
      </c>
      <c r="H1289" s="36">
        <f t="shared" si="263"/>
        <v>13440</v>
      </c>
      <c r="I1289" s="7">
        <f>'прил.5'!J332</f>
        <v>0</v>
      </c>
      <c r="J1289" s="36">
        <f t="shared" si="262"/>
        <v>13440</v>
      </c>
      <c r="K1289" s="7">
        <f>'прил.5'!L332</f>
        <v>0</v>
      </c>
      <c r="L1289" s="36">
        <f t="shared" si="268"/>
        <v>13440</v>
      </c>
      <c r="M1289" s="7">
        <f>'прил.5'!N332</f>
        <v>0</v>
      </c>
      <c r="N1289" s="36">
        <f t="shared" si="269"/>
        <v>13440</v>
      </c>
      <c r="O1289" s="7">
        <f>'прил.5'!P332</f>
        <v>0</v>
      </c>
      <c r="P1289" s="36">
        <f t="shared" si="260"/>
        <v>13440</v>
      </c>
      <c r="Q1289" s="7">
        <f>'прил.5'!R332</f>
        <v>0</v>
      </c>
      <c r="R1289" s="36">
        <f t="shared" si="273"/>
        <v>13440</v>
      </c>
    </row>
    <row r="1290" spans="1:18" ht="68.25" customHeight="1">
      <c r="A1290" s="62" t="str">
        <f ca="1">IF(ISERROR(MATCH(B1290,Код_КЦСР,0)),"",INDIRECT(ADDRESS(MATCH(B1290,Код_КЦСР,0)+1,2,,,"КЦСР")))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290" s="46" t="s">
        <v>138</v>
      </c>
      <c r="C1290" s="8"/>
      <c r="D1290" s="1"/>
      <c r="E1290" s="115"/>
      <c r="F1290" s="7">
        <f>F1291+F1297</f>
        <v>33737.9</v>
      </c>
      <c r="G1290" s="7">
        <f>G1291+G1297</f>
        <v>0</v>
      </c>
      <c r="H1290" s="36">
        <f t="shared" si="263"/>
        <v>33737.9</v>
      </c>
      <c r="I1290" s="7">
        <f>I1291+I1297</f>
        <v>-500</v>
      </c>
      <c r="J1290" s="36">
        <f t="shared" si="262"/>
        <v>33237.9</v>
      </c>
      <c r="K1290" s="7">
        <f>K1291+K1297</f>
        <v>-130</v>
      </c>
      <c r="L1290" s="36">
        <f t="shared" si="268"/>
        <v>33107.9</v>
      </c>
      <c r="M1290" s="7">
        <f>M1291+M1297</f>
        <v>0</v>
      </c>
      <c r="N1290" s="36">
        <f t="shared" si="269"/>
        <v>33107.9</v>
      </c>
      <c r="O1290" s="7">
        <f>O1291+O1297</f>
        <v>-1200</v>
      </c>
      <c r="P1290" s="36">
        <f t="shared" si="260"/>
        <v>31907.9</v>
      </c>
      <c r="Q1290" s="7">
        <f>Q1291+Q1297</f>
        <v>-3457</v>
      </c>
      <c r="R1290" s="36">
        <f t="shared" si="273"/>
        <v>28450.9</v>
      </c>
    </row>
    <row r="1291" spans="1:18" ht="12.75">
      <c r="A1291" s="62" t="str">
        <f ca="1">IF(ISERROR(MATCH(B1291,Код_КЦСР,0)),"",INDIRECT(ADDRESS(MATCH(B1291,Код_КЦСР,0)+1,2,,,"КЦСР")))</f>
        <v>Совершенствование предоставления муниципальных услуг</v>
      </c>
      <c r="B1291" s="46" t="s">
        <v>140</v>
      </c>
      <c r="C1291" s="8"/>
      <c r="D1291" s="1"/>
      <c r="E1291" s="115"/>
      <c r="F1291" s="7">
        <f aca="true" t="shared" si="274" ref="F1291:Q1295">F1292</f>
        <v>5880</v>
      </c>
      <c r="G1291" s="7">
        <f t="shared" si="274"/>
        <v>0</v>
      </c>
      <c r="H1291" s="36">
        <f t="shared" si="263"/>
        <v>5880</v>
      </c>
      <c r="I1291" s="7">
        <f t="shared" si="274"/>
        <v>-500</v>
      </c>
      <c r="J1291" s="36">
        <f t="shared" si="262"/>
        <v>5380</v>
      </c>
      <c r="K1291" s="7">
        <f t="shared" si="274"/>
        <v>0</v>
      </c>
      <c r="L1291" s="36">
        <f t="shared" si="268"/>
        <v>5380</v>
      </c>
      <c r="M1291" s="7">
        <f t="shared" si="274"/>
        <v>0</v>
      </c>
      <c r="N1291" s="36">
        <f t="shared" si="269"/>
        <v>5380</v>
      </c>
      <c r="O1291" s="7">
        <f t="shared" si="274"/>
        <v>-1200</v>
      </c>
      <c r="P1291" s="36">
        <f t="shared" si="260"/>
        <v>4180</v>
      </c>
      <c r="Q1291" s="7">
        <f t="shared" si="274"/>
        <v>-3457</v>
      </c>
      <c r="R1291" s="36">
        <f t="shared" si="273"/>
        <v>723</v>
      </c>
    </row>
    <row r="1292" spans="1:18" ht="12.75">
      <c r="A1292" s="62" t="str">
        <f ca="1">IF(ISERROR(MATCH(C1292,Код_Раздел,0)),"",INDIRECT(ADDRESS(MATCH(C1292,Код_Раздел,0)+1,2,,,"Раздел")))</f>
        <v>Национальная экономика</v>
      </c>
      <c r="B1292" s="46" t="s">
        <v>140</v>
      </c>
      <c r="C1292" s="8" t="s">
        <v>224</v>
      </c>
      <c r="D1292" s="1"/>
      <c r="E1292" s="115"/>
      <c r="F1292" s="7">
        <f t="shared" si="274"/>
        <v>5880</v>
      </c>
      <c r="G1292" s="7">
        <f t="shared" si="274"/>
        <v>0</v>
      </c>
      <c r="H1292" s="36">
        <f t="shared" si="263"/>
        <v>5880</v>
      </c>
      <c r="I1292" s="7">
        <f t="shared" si="274"/>
        <v>-500</v>
      </c>
      <c r="J1292" s="36">
        <f t="shared" si="262"/>
        <v>5380</v>
      </c>
      <c r="K1292" s="7">
        <f t="shared" si="274"/>
        <v>0</v>
      </c>
      <c r="L1292" s="36">
        <f t="shared" si="268"/>
        <v>5380</v>
      </c>
      <c r="M1292" s="7">
        <f t="shared" si="274"/>
        <v>0</v>
      </c>
      <c r="N1292" s="36">
        <f t="shared" si="269"/>
        <v>5380</v>
      </c>
      <c r="O1292" s="7">
        <f t="shared" si="274"/>
        <v>-1200</v>
      </c>
      <c r="P1292" s="36">
        <f t="shared" si="260"/>
        <v>4180</v>
      </c>
      <c r="Q1292" s="7">
        <f t="shared" si="274"/>
        <v>-3457</v>
      </c>
      <c r="R1292" s="36">
        <f t="shared" si="273"/>
        <v>723</v>
      </c>
    </row>
    <row r="1293" spans="1:18" ht="12.75">
      <c r="A1293" s="12" t="s">
        <v>238</v>
      </c>
      <c r="B1293" s="46" t="s">
        <v>140</v>
      </c>
      <c r="C1293" s="8" t="s">
        <v>224</v>
      </c>
      <c r="D1293" s="8" t="s">
        <v>196</v>
      </c>
      <c r="E1293" s="115"/>
      <c r="F1293" s="7">
        <f t="shared" si="274"/>
        <v>5880</v>
      </c>
      <c r="G1293" s="7">
        <f t="shared" si="274"/>
        <v>0</v>
      </c>
      <c r="H1293" s="36">
        <f t="shared" si="263"/>
        <v>5880</v>
      </c>
      <c r="I1293" s="7">
        <f t="shared" si="274"/>
        <v>-500</v>
      </c>
      <c r="J1293" s="36">
        <f t="shared" si="262"/>
        <v>5380</v>
      </c>
      <c r="K1293" s="7">
        <f t="shared" si="274"/>
        <v>0</v>
      </c>
      <c r="L1293" s="36">
        <f t="shared" si="268"/>
        <v>5380</v>
      </c>
      <c r="M1293" s="7">
        <f t="shared" si="274"/>
        <v>0</v>
      </c>
      <c r="N1293" s="36">
        <f t="shared" si="269"/>
        <v>5380</v>
      </c>
      <c r="O1293" s="7">
        <f t="shared" si="274"/>
        <v>-1200</v>
      </c>
      <c r="P1293" s="36">
        <f t="shared" si="260"/>
        <v>4180</v>
      </c>
      <c r="Q1293" s="7">
        <f t="shared" si="274"/>
        <v>-3457</v>
      </c>
      <c r="R1293" s="36">
        <f t="shared" si="273"/>
        <v>723</v>
      </c>
    </row>
    <row r="1294" spans="1:18" ht="33">
      <c r="A1294" s="62" t="str">
        <f ca="1">IF(ISERROR(MATCH(E1294,Код_КВР,0)),"",INDIRECT(ADDRESS(MATCH(E1294,Код_КВР,0)+1,2,,,"КВР")))</f>
        <v>Предоставление субсидий бюджетным, автономным учреждениям и иным некоммерческим организациям</v>
      </c>
      <c r="B1294" s="46" t="s">
        <v>140</v>
      </c>
      <c r="C1294" s="8" t="s">
        <v>224</v>
      </c>
      <c r="D1294" s="8" t="s">
        <v>196</v>
      </c>
      <c r="E1294" s="115">
        <v>600</v>
      </c>
      <c r="F1294" s="7">
        <f t="shared" si="274"/>
        <v>5880</v>
      </c>
      <c r="G1294" s="7">
        <f t="shared" si="274"/>
        <v>0</v>
      </c>
      <c r="H1294" s="36">
        <f t="shared" si="263"/>
        <v>5880</v>
      </c>
      <c r="I1294" s="7">
        <f t="shared" si="274"/>
        <v>-500</v>
      </c>
      <c r="J1294" s="36">
        <f t="shared" si="262"/>
        <v>5380</v>
      </c>
      <c r="K1294" s="7">
        <f t="shared" si="274"/>
        <v>0</v>
      </c>
      <c r="L1294" s="36">
        <f t="shared" si="268"/>
        <v>5380</v>
      </c>
      <c r="M1294" s="7">
        <f t="shared" si="274"/>
        <v>0</v>
      </c>
      <c r="N1294" s="36">
        <f t="shared" si="269"/>
        <v>5380</v>
      </c>
      <c r="O1294" s="7">
        <f t="shared" si="274"/>
        <v>-1200</v>
      </c>
      <c r="P1294" s="36">
        <f t="shared" si="260"/>
        <v>4180</v>
      </c>
      <c r="Q1294" s="7">
        <f t="shared" si="274"/>
        <v>-3457</v>
      </c>
      <c r="R1294" s="36">
        <f t="shared" si="273"/>
        <v>723</v>
      </c>
    </row>
    <row r="1295" spans="1:18" ht="12.75">
      <c r="A1295" s="62" t="str">
        <f ca="1">IF(ISERROR(MATCH(E1295,Код_КВР,0)),"",INDIRECT(ADDRESS(MATCH(E1295,Код_КВР,0)+1,2,,,"КВР")))</f>
        <v>Субсидии бюджетным учреждениям</v>
      </c>
      <c r="B1295" s="46" t="s">
        <v>140</v>
      </c>
      <c r="C1295" s="8" t="s">
        <v>224</v>
      </c>
      <c r="D1295" s="8" t="s">
        <v>196</v>
      </c>
      <c r="E1295" s="115">
        <v>610</v>
      </c>
      <c r="F1295" s="7">
        <f t="shared" si="274"/>
        <v>5880</v>
      </c>
      <c r="G1295" s="7">
        <f t="shared" si="274"/>
        <v>0</v>
      </c>
      <c r="H1295" s="36">
        <f t="shared" si="263"/>
        <v>5880</v>
      </c>
      <c r="I1295" s="7">
        <f t="shared" si="274"/>
        <v>-500</v>
      </c>
      <c r="J1295" s="36">
        <f t="shared" si="262"/>
        <v>5380</v>
      </c>
      <c r="K1295" s="7">
        <f t="shared" si="274"/>
        <v>0</v>
      </c>
      <c r="L1295" s="36">
        <f t="shared" si="268"/>
        <v>5380</v>
      </c>
      <c r="M1295" s="7">
        <f t="shared" si="274"/>
        <v>0</v>
      </c>
      <c r="N1295" s="36">
        <f t="shared" si="269"/>
        <v>5380</v>
      </c>
      <c r="O1295" s="7">
        <f t="shared" si="274"/>
        <v>-1200</v>
      </c>
      <c r="P1295" s="36">
        <f aca="true" t="shared" si="275" ref="P1295:P1358">N1295+O1295</f>
        <v>4180</v>
      </c>
      <c r="Q1295" s="7">
        <f t="shared" si="274"/>
        <v>-3457</v>
      </c>
      <c r="R1295" s="36">
        <f t="shared" si="273"/>
        <v>723</v>
      </c>
    </row>
    <row r="1296" spans="1:18" ht="12.75">
      <c r="A1296" s="62" t="str">
        <f ca="1">IF(ISERROR(MATCH(E1296,Код_КВР,0)),"",INDIRECT(ADDRESS(MATCH(E1296,Код_КВР,0)+1,2,,,"КВР")))</f>
        <v>Субсидии бюджетным учреждениям на иные цели</v>
      </c>
      <c r="B1296" s="46" t="s">
        <v>140</v>
      </c>
      <c r="C1296" s="8" t="s">
        <v>224</v>
      </c>
      <c r="D1296" s="8" t="s">
        <v>196</v>
      </c>
      <c r="E1296" s="115">
        <v>612</v>
      </c>
      <c r="F1296" s="7">
        <f>'прил.5'!G259</f>
        <v>5880</v>
      </c>
      <c r="G1296" s="7">
        <f>'прил.5'!H259</f>
        <v>0</v>
      </c>
      <c r="H1296" s="36">
        <f t="shared" si="263"/>
        <v>5880</v>
      </c>
      <c r="I1296" s="7">
        <f>'прил.5'!J259</f>
        <v>-500</v>
      </c>
      <c r="J1296" s="36">
        <f aca="true" t="shared" si="276" ref="J1296:J1358">H1296+I1296</f>
        <v>5380</v>
      </c>
      <c r="K1296" s="7">
        <f>'прил.5'!L259</f>
        <v>0</v>
      </c>
      <c r="L1296" s="36">
        <f t="shared" si="268"/>
        <v>5380</v>
      </c>
      <c r="M1296" s="7">
        <f>'прил.5'!N259</f>
        <v>0</v>
      </c>
      <c r="N1296" s="36">
        <f t="shared" si="269"/>
        <v>5380</v>
      </c>
      <c r="O1296" s="7">
        <f>'прил.5'!P259</f>
        <v>-1200</v>
      </c>
      <c r="P1296" s="36">
        <f t="shared" si="275"/>
        <v>4180</v>
      </c>
      <c r="Q1296" s="7">
        <f>'прил.5'!R259</f>
        <v>-3457</v>
      </c>
      <c r="R1296" s="36">
        <f t="shared" si="273"/>
        <v>723</v>
      </c>
    </row>
    <row r="1297" spans="1:18" ht="33">
      <c r="A1297" s="62" t="str">
        <f ca="1">IF(ISERROR(MATCH(B1297,Код_КЦСР,0)),"",INDIRECT(ADDRESS(MATCH(B1297,Код_КЦСР,0)+1,2,,,"КЦСР")))</f>
        <v>Создание и организация деятельности многофункционального центра</v>
      </c>
      <c r="B1297" s="46" t="s">
        <v>142</v>
      </c>
      <c r="C1297" s="8"/>
      <c r="D1297" s="1"/>
      <c r="E1297" s="115"/>
      <c r="F1297" s="7">
        <f>F1298</f>
        <v>27857.9</v>
      </c>
      <c r="G1297" s="7">
        <f aca="true" t="shared" si="277" ref="G1297:Q1297">G1298</f>
        <v>0</v>
      </c>
      <c r="H1297" s="7">
        <f t="shared" si="277"/>
        <v>27857.9</v>
      </c>
      <c r="I1297" s="7">
        <f t="shared" si="277"/>
        <v>0</v>
      </c>
      <c r="J1297" s="7">
        <f t="shared" si="277"/>
        <v>27857.9</v>
      </c>
      <c r="K1297" s="7">
        <f t="shared" si="277"/>
        <v>-130</v>
      </c>
      <c r="L1297" s="7">
        <f t="shared" si="277"/>
        <v>27727.9</v>
      </c>
      <c r="M1297" s="7">
        <f t="shared" si="277"/>
        <v>0</v>
      </c>
      <c r="N1297" s="7">
        <f t="shared" si="277"/>
        <v>27727.9</v>
      </c>
      <c r="O1297" s="7">
        <f t="shared" si="277"/>
        <v>0</v>
      </c>
      <c r="P1297" s="36">
        <f t="shared" si="275"/>
        <v>27727.9</v>
      </c>
      <c r="Q1297" s="7">
        <f t="shared" si="277"/>
        <v>0</v>
      </c>
      <c r="R1297" s="36">
        <f t="shared" si="273"/>
        <v>27727.9</v>
      </c>
    </row>
    <row r="1298" spans="1:18" ht="12.75">
      <c r="A1298" s="62" t="str">
        <f ca="1">IF(ISERROR(MATCH(C1298,Код_Раздел,0)),"",INDIRECT(ADDRESS(MATCH(C1298,Код_Раздел,0)+1,2,,,"Раздел")))</f>
        <v>Общегосударственные  вопросы</v>
      </c>
      <c r="B1298" s="46" t="s">
        <v>142</v>
      </c>
      <c r="C1298" s="8" t="s">
        <v>221</v>
      </c>
      <c r="D1298" s="1"/>
      <c r="E1298" s="115"/>
      <c r="F1298" s="7">
        <f aca="true" t="shared" si="278" ref="F1298:Q1300">F1299</f>
        <v>27857.9</v>
      </c>
      <c r="G1298" s="7">
        <f t="shared" si="278"/>
        <v>0</v>
      </c>
      <c r="H1298" s="36">
        <f t="shared" si="263"/>
        <v>27857.9</v>
      </c>
      <c r="I1298" s="7">
        <f t="shared" si="278"/>
        <v>0</v>
      </c>
      <c r="J1298" s="36">
        <f t="shared" si="276"/>
        <v>27857.9</v>
      </c>
      <c r="K1298" s="7">
        <f t="shared" si="278"/>
        <v>-130</v>
      </c>
      <c r="L1298" s="36">
        <f t="shared" si="268"/>
        <v>27727.9</v>
      </c>
      <c r="M1298" s="7">
        <f t="shared" si="278"/>
        <v>0</v>
      </c>
      <c r="N1298" s="36">
        <f aca="true" t="shared" si="279" ref="N1298:N1361">L1298+M1298</f>
        <v>27727.9</v>
      </c>
      <c r="O1298" s="7">
        <f t="shared" si="278"/>
        <v>0</v>
      </c>
      <c r="P1298" s="36">
        <f t="shared" si="275"/>
        <v>27727.9</v>
      </c>
      <c r="Q1298" s="7">
        <f t="shared" si="278"/>
        <v>0</v>
      </c>
      <c r="R1298" s="36">
        <f t="shared" si="273"/>
        <v>27727.9</v>
      </c>
    </row>
    <row r="1299" spans="1:18" ht="12.75">
      <c r="A1299" s="12" t="s">
        <v>245</v>
      </c>
      <c r="B1299" s="46" t="s">
        <v>142</v>
      </c>
      <c r="C1299" s="8" t="s">
        <v>221</v>
      </c>
      <c r="D1299" s="1" t="s">
        <v>198</v>
      </c>
      <c r="E1299" s="115"/>
      <c r="F1299" s="7">
        <f t="shared" si="278"/>
        <v>27857.9</v>
      </c>
      <c r="G1299" s="7">
        <f t="shared" si="278"/>
        <v>0</v>
      </c>
      <c r="H1299" s="36">
        <f t="shared" si="263"/>
        <v>27857.9</v>
      </c>
      <c r="I1299" s="7">
        <f t="shared" si="278"/>
        <v>0</v>
      </c>
      <c r="J1299" s="36">
        <f t="shared" si="276"/>
        <v>27857.9</v>
      </c>
      <c r="K1299" s="7">
        <f t="shared" si="278"/>
        <v>-130</v>
      </c>
      <c r="L1299" s="36">
        <f t="shared" si="268"/>
        <v>27727.9</v>
      </c>
      <c r="M1299" s="7">
        <f t="shared" si="278"/>
        <v>0</v>
      </c>
      <c r="N1299" s="36">
        <f t="shared" si="279"/>
        <v>27727.9</v>
      </c>
      <c r="O1299" s="7">
        <f t="shared" si="278"/>
        <v>0</v>
      </c>
      <c r="P1299" s="36">
        <f t="shared" si="275"/>
        <v>27727.9</v>
      </c>
      <c r="Q1299" s="7">
        <f t="shared" si="278"/>
        <v>0</v>
      </c>
      <c r="R1299" s="36">
        <f t="shared" si="273"/>
        <v>27727.9</v>
      </c>
    </row>
    <row r="1300" spans="1:18" ht="33">
      <c r="A1300" s="62" t="str">
        <f ca="1">IF(ISERROR(MATCH(E1300,Код_КВР,0)),"",INDIRECT(ADDRESS(MATCH(E1300,Код_КВР,0)+1,2,,,"КВР")))</f>
        <v>Предоставление субсидий бюджетным, автономным учреждениям и иным некоммерческим организациям</v>
      </c>
      <c r="B1300" s="46" t="s">
        <v>142</v>
      </c>
      <c r="C1300" s="8" t="s">
        <v>221</v>
      </c>
      <c r="D1300" s="1" t="s">
        <v>198</v>
      </c>
      <c r="E1300" s="115">
        <v>600</v>
      </c>
      <c r="F1300" s="7">
        <f t="shared" si="278"/>
        <v>27857.9</v>
      </c>
      <c r="G1300" s="7">
        <f t="shared" si="278"/>
        <v>0</v>
      </c>
      <c r="H1300" s="36">
        <f t="shared" si="263"/>
        <v>27857.9</v>
      </c>
      <c r="I1300" s="7">
        <f t="shared" si="278"/>
        <v>0</v>
      </c>
      <c r="J1300" s="36">
        <f t="shared" si="276"/>
        <v>27857.9</v>
      </c>
      <c r="K1300" s="7">
        <f t="shared" si="278"/>
        <v>-130</v>
      </c>
      <c r="L1300" s="36">
        <f t="shared" si="268"/>
        <v>27727.9</v>
      </c>
      <c r="M1300" s="7">
        <f t="shared" si="278"/>
        <v>0</v>
      </c>
      <c r="N1300" s="36">
        <f t="shared" si="279"/>
        <v>27727.9</v>
      </c>
      <c r="O1300" s="7">
        <f t="shared" si="278"/>
        <v>0</v>
      </c>
      <c r="P1300" s="36">
        <f t="shared" si="275"/>
        <v>27727.9</v>
      </c>
      <c r="Q1300" s="7">
        <f t="shared" si="278"/>
        <v>0</v>
      </c>
      <c r="R1300" s="36">
        <f t="shared" si="273"/>
        <v>27727.9</v>
      </c>
    </row>
    <row r="1301" spans="1:18" ht="12.75">
      <c r="A1301" s="62" t="str">
        <f ca="1">IF(ISERROR(MATCH(E1301,Код_КВР,0)),"",INDIRECT(ADDRESS(MATCH(E1301,Код_КВР,0)+1,2,,,"КВР")))</f>
        <v>Субсидии бюджетным учреждениям</v>
      </c>
      <c r="B1301" s="46" t="s">
        <v>142</v>
      </c>
      <c r="C1301" s="8" t="s">
        <v>221</v>
      </c>
      <c r="D1301" s="1" t="s">
        <v>198</v>
      </c>
      <c r="E1301" s="115">
        <v>610</v>
      </c>
      <c r="F1301" s="7">
        <f>SUM(F1302:F1303)</f>
        <v>27857.9</v>
      </c>
      <c r="G1301" s="7">
        <f>SUM(G1302:G1303)</f>
        <v>0</v>
      </c>
      <c r="H1301" s="36">
        <f t="shared" si="263"/>
        <v>27857.9</v>
      </c>
      <c r="I1301" s="7">
        <f>SUM(I1302:I1303)</f>
        <v>0</v>
      </c>
      <c r="J1301" s="36">
        <f t="shared" si="276"/>
        <v>27857.9</v>
      </c>
      <c r="K1301" s="7">
        <f>SUM(K1302:K1303)</f>
        <v>-130</v>
      </c>
      <c r="L1301" s="36">
        <f t="shared" si="268"/>
        <v>27727.9</v>
      </c>
      <c r="M1301" s="7">
        <f>SUM(M1302:M1303)</f>
        <v>0</v>
      </c>
      <c r="N1301" s="36">
        <f t="shared" si="279"/>
        <v>27727.9</v>
      </c>
      <c r="O1301" s="7">
        <f>SUM(O1302:O1303)</f>
        <v>0</v>
      </c>
      <c r="P1301" s="36">
        <f t="shared" si="275"/>
        <v>27727.9</v>
      </c>
      <c r="Q1301" s="7">
        <f>SUM(Q1302:Q1303)</f>
        <v>0</v>
      </c>
      <c r="R1301" s="36">
        <f t="shared" si="273"/>
        <v>27727.9</v>
      </c>
    </row>
    <row r="1302" spans="1:18" ht="49.5">
      <c r="A1302" s="62" t="str">
        <f ca="1">IF(ISERROR(MATCH(E1302,Код_КВР,0)),"",INDIRECT(ADDRESS(MATCH(E1302,Код_КВР,0)+1,2,,,"КВР")))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02" s="46" t="s">
        <v>142</v>
      </c>
      <c r="C1302" s="8" t="s">
        <v>221</v>
      </c>
      <c r="D1302" s="1" t="s">
        <v>198</v>
      </c>
      <c r="E1302" s="115">
        <v>611</v>
      </c>
      <c r="F1302" s="7">
        <f>'прил.5'!G132</f>
        <v>27757.9</v>
      </c>
      <c r="G1302" s="7">
        <f>'прил.5'!H132</f>
        <v>0</v>
      </c>
      <c r="H1302" s="36">
        <f t="shared" si="263"/>
        <v>27757.9</v>
      </c>
      <c r="I1302" s="7">
        <f>'прил.5'!J132</f>
        <v>0</v>
      </c>
      <c r="J1302" s="36">
        <f t="shared" si="276"/>
        <v>27757.9</v>
      </c>
      <c r="K1302" s="7">
        <f>'прил.5'!L132</f>
        <v>-130</v>
      </c>
      <c r="L1302" s="36">
        <f t="shared" si="268"/>
        <v>27627.9</v>
      </c>
      <c r="M1302" s="7">
        <f>'прил.5'!N132</f>
        <v>0</v>
      </c>
      <c r="N1302" s="36">
        <f t="shared" si="279"/>
        <v>27627.9</v>
      </c>
      <c r="O1302" s="7">
        <f>'прил.5'!P132</f>
        <v>0</v>
      </c>
      <c r="P1302" s="36">
        <f t="shared" si="275"/>
        <v>27627.9</v>
      </c>
      <c r="Q1302" s="7">
        <f>'прил.5'!R132</f>
        <v>0</v>
      </c>
      <c r="R1302" s="36">
        <f t="shared" si="273"/>
        <v>27627.9</v>
      </c>
    </row>
    <row r="1303" spans="1:18" ht="12.75">
      <c r="A1303" s="62" t="str">
        <f ca="1">IF(ISERROR(MATCH(E1303,Код_КВР,0)),"",INDIRECT(ADDRESS(MATCH(E1303,Код_КВР,0)+1,2,,,"КВР")))</f>
        <v>Субсидии бюджетным учреждениям на иные цели</v>
      </c>
      <c r="B1303" s="46" t="s">
        <v>142</v>
      </c>
      <c r="C1303" s="8" t="s">
        <v>221</v>
      </c>
      <c r="D1303" s="1" t="s">
        <v>198</v>
      </c>
      <c r="E1303" s="115">
        <v>612</v>
      </c>
      <c r="F1303" s="7">
        <f>'прил.5'!G133</f>
        <v>100</v>
      </c>
      <c r="G1303" s="7">
        <f>'прил.5'!H133</f>
        <v>0</v>
      </c>
      <c r="H1303" s="36">
        <f aca="true" t="shared" si="280" ref="H1303:H1366">F1303+G1303</f>
        <v>100</v>
      </c>
      <c r="I1303" s="7">
        <f>'прил.5'!J133</f>
        <v>0</v>
      </c>
      <c r="J1303" s="36">
        <f t="shared" si="276"/>
        <v>100</v>
      </c>
      <c r="K1303" s="7">
        <f>'прил.5'!L133</f>
        <v>0</v>
      </c>
      <c r="L1303" s="36">
        <f t="shared" si="268"/>
        <v>100</v>
      </c>
      <c r="M1303" s="7">
        <f>'прил.5'!N133</f>
        <v>0</v>
      </c>
      <c r="N1303" s="36">
        <f t="shared" si="279"/>
        <v>100</v>
      </c>
      <c r="O1303" s="7">
        <f>'прил.5'!P133</f>
        <v>0</v>
      </c>
      <c r="P1303" s="36">
        <f t="shared" si="275"/>
        <v>100</v>
      </c>
      <c r="Q1303" s="7">
        <f>'прил.5'!R133</f>
        <v>0</v>
      </c>
      <c r="R1303" s="36">
        <f t="shared" si="273"/>
        <v>100</v>
      </c>
    </row>
    <row r="1304" spans="1:18" ht="33">
      <c r="A1304" s="62" t="str">
        <f ca="1">IF(ISERROR(MATCH(B1304,Код_КЦСР,0)),"",INDIRECT(ADDRESS(MATCH(B1304,Код_КЦСР,0)+1,2,,,"КЦСР")))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304" s="46" t="s">
        <v>144</v>
      </c>
      <c r="C1304" s="8"/>
      <c r="D1304" s="1"/>
      <c r="E1304" s="115"/>
      <c r="F1304" s="7">
        <f>F1305+F1311+F1322+F1328+F1334+F1346</f>
        <v>46053.3</v>
      </c>
      <c r="G1304" s="7">
        <f>G1305+G1311+G1322+G1328+G1334+G1346</f>
        <v>0</v>
      </c>
      <c r="H1304" s="36">
        <f t="shared" si="280"/>
        <v>46053.3</v>
      </c>
      <c r="I1304" s="7">
        <f>I1305+I1311+I1322+I1328+I1334+I1346</f>
        <v>126.5</v>
      </c>
      <c r="J1304" s="36">
        <f t="shared" si="276"/>
        <v>46179.8</v>
      </c>
      <c r="K1304" s="7">
        <f>K1305+K1311+K1322+K1328+K1334+K1346</f>
        <v>-133.9</v>
      </c>
      <c r="L1304" s="36">
        <f t="shared" si="268"/>
        <v>46045.9</v>
      </c>
      <c r="M1304" s="7">
        <f>M1305+M1311+M1322+M1328+M1334+M1346</f>
        <v>240.5</v>
      </c>
      <c r="N1304" s="36">
        <f t="shared" si="279"/>
        <v>46286.4</v>
      </c>
      <c r="O1304" s="7">
        <f>O1305+O1311+O1322+O1328+O1334+O1346</f>
        <v>0</v>
      </c>
      <c r="P1304" s="36">
        <f t="shared" si="275"/>
        <v>46286.4</v>
      </c>
      <c r="Q1304" s="7">
        <f>Q1305+Q1311+Q1322+Q1328+Q1334+Q1346</f>
        <v>4297.700000000001</v>
      </c>
      <c r="R1304" s="36">
        <f t="shared" si="273"/>
        <v>50584.100000000006</v>
      </c>
    </row>
    <row r="1305" spans="1:18" ht="33" hidden="1">
      <c r="A1305" s="62" t="str">
        <f ca="1">IF(ISERROR(MATCH(B1305,Код_КЦСР,0)),"",INDIRECT(ADDRESS(MATCH(B1305,Код_КЦСР,0)+1,2,,,"КЦСР")))</f>
        <v>Создание системы территориального общественного самоуправления</v>
      </c>
      <c r="B1305" s="46" t="s">
        <v>146</v>
      </c>
      <c r="C1305" s="8"/>
      <c r="D1305" s="1"/>
      <c r="E1305" s="115"/>
      <c r="F1305" s="7">
        <f aca="true" t="shared" si="281" ref="F1305:Q1309">F1306</f>
        <v>72</v>
      </c>
      <c r="G1305" s="7">
        <f t="shared" si="281"/>
        <v>0</v>
      </c>
      <c r="H1305" s="36">
        <f t="shared" si="280"/>
        <v>72</v>
      </c>
      <c r="I1305" s="7">
        <f t="shared" si="281"/>
        <v>0</v>
      </c>
      <c r="J1305" s="36">
        <f t="shared" si="276"/>
        <v>72</v>
      </c>
      <c r="K1305" s="7">
        <f t="shared" si="281"/>
        <v>-72</v>
      </c>
      <c r="L1305" s="36">
        <f t="shared" si="268"/>
        <v>0</v>
      </c>
      <c r="M1305" s="7">
        <f t="shared" si="281"/>
        <v>0</v>
      </c>
      <c r="N1305" s="36">
        <f t="shared" si="279"/>
        <v>0</v>
      </c>
      <c r="O1305" s="7">
        <f t="shared" si="281"/>
        <v>0</v>
      </c>
      <c r="P1305" s="36">
        <f t="shared" si="275"/>
        <v>0</v>
      </c>
      <c r="Q1305" s="7">
        <f t="shared" si="281"/>
        <v>0</v>
      </c>
      <c r="R1305" s="36">
        <f t="shared" si="273"/>
        <v>0</v>
      </c>
    </row>
    <row r="1306" spans="1:18" ht="12.75" hidden="1">
      <c r="A1306" s="62" t="str">
        <f ca="1">IF(ISERROR(MATCH(C1306,Код_Раздел,0)),"",INDIRECT(ADDRESS(MATCH(C1306,Код_Раздел,0)+1,2,,,"Раздел")))</f>
        <v>Общегосударственные  вопросы</v>
      </c>
      <c r="B1306" s="46" t="s">
        <v>146</v>
      </c>
      <c r="C1306" s="8" t="s">
        <v>221</v>
      </c>
      <c r="D1306" s="1"/>
      <c r="E1306" s="115"/>
      <c r="F1306" s="7">
        <f t="shared" si="281"/>
        <v>72</v>
      </c>
      <c r="G1306" s="7">
        <f t="shared" si="281"/>
        <v>0</v>
      </c>
      <c r="H1306" s="36">
        <f t="shared" si="280"/>
        <v>72</v>
      </c>
      <c r="I1306" s="7">
        <f t="shared" si="281"/>
        <v>0</v>
      </c>
      <c r="J1306" s="36">
        <f t="shared" si="276"/>
        <v>72</v>
      </c>
      <c r="K1306" s="7">
        <f t="shared" si="281"/>
        <v>-72</v>
      </c>
      <c r="L1306" s="36">
        <f t="shared" si="268"/>
        <v>0</v>
      </c>
      <c r="M1306" s="7">
        <f t="shared" si="281"/>
        <v>0</v>
      </c>
      <c r="N1306" s="36">
        <f t="shared" si="279"/>
        <v>0</v>
      </c>
      <c r="O1306" s="7">
        <f t="shared" si="281"/>
        <v>0</v>
      </c>
      <c r="P1306" s="36">
        <f t="shared" si="275"/>
        <v>0</v>
      </c>
      <c r="Q1306" s="7">
        <f t="shared" si="281"/>
        <v>0</v>
      </c>
      <c r="R1306" s="36">
        <f t="shared" si="273"/>
        <v>0</v>
      </c>
    </row>
    <row r="1307" spans="1:18" ht="12.75" hidden="1">
      <c r="A1307" s="12" t="s">
        <v>245</v>
      </c>
      <c r="B1307" s="46" t="s">
        <v>146</v>
      </c>
      <c r="C1307" s="8" t="s">
        <v>221</v>
      </c>
      <c r="D1307" s="1" t="s">
        <v>198</v>
      </c>
      <c r="E1307" s="115"/>
      <c r="F1307" s="7">
        <f t="shared" si="281"/>
        <v>72</v>
      </c>
      <c r="G1307" s="7">
        <f t="shared" si="281"/>
        <v>0</v>
      </c>
      <c r="H1307" s="36">
        <f t="shared" si="280"/>
        <v>72</v>
      </c>
      <c r="I1307" s="7">
        <f t="shared" si="281"/>
        <v>0</v>
      </c>
      <c r="J1307" s="36">
        <f t="shared" si="276"/>
        <v>72</v>
      </c>
      <c r="K1307" s="7">
        <f t="shared" si="281"/>
        <v>-72</v>
      </c>
      <c r="L1307" s="36">
        <f t="shared" si="268"/>
        <v>0</v>
      </c>
      <c r="M1307" s="7">
        <f t="shared" si="281"/>
        <v>0</v>
      </c>
      <c r="N1307" s="36">
        <f t="shared" si="279"/>
        <v>0</v>
      </c>
      <c r="O1307" s="7">
        <f t="shared" si="281"/>
        <v>0</v>
      </c>
      <c r="P1307" s="36">
        <f t="shared" si="275"/>
        <v>0</v>
      </c>
      <c r="Q1307" s="7">
        <f t="shared" si="281"/>
        <v>0</v>
      </c>
      <c r="R1307" s="36">
        <f t="shared" si="273"/>
        <v>0</v>
      </c>
    </row>
    <row r="1308" spans="1:18" ht="12.75" hidden="1">
      <c r="A1308" s="62" t="str">
        <f ca="1">IF(ISERROR(MATCH(E1308,Код_КВР,0)),"",INDIRECT(ADDRESS(MATCH(E1308,Код_КВР,0)+1,2,,,"КВР")))</f>
        <v>Закупка товаров, работ и услуг для муниципальных нужд</v>
      </c>
      <c r="B1308" s="46" t="s">
        <v>146</v>
      </c>
      <c r="C1308" s="8" t="s">
        <v>221</v>
      </c>
      <c r="D1308" s="1" t="s">
        <v>198</v>
      </c>
      <c r="E1308" s="115">
        <v>200</v>
      </c>
      <c r="F1308" s="7">
        <f t="shared" si="281"/>
        <v>72</v>
      </c>
      <c r="G1308" s="7">
        <f t="shared" si="281"/>
        <v>0</v>
      </c>
      <c r="H1308" s="36">
        <f t="shared" si="280"/>
        <v>72</v>
      </c>
      <c r="I1308" s="7">
        <f t="shared" si="281"/>
        <v>0</v>
      </c>
      <c r="J1308" s="36">
        <f t="shared" si="276"/>
        <v>72</v>
      </c>
      <c r="K1308" s="7">
        <f t="shared" si="281"/>
        <v>-72</v>
      </c>
      <c r="L1308" s="36">
        <f t="shared" si="268"/>
        <v>0</v>
      </c>
      <c r="M1308" s="7">
        <f t="shared" si="281"/>
        <v>0</v>
      </c>
      <c r="N1308" s="36">
        <f t="shared" si="279"/>
        <v>0</v>
      </c>
      <c r="O1308" s="7">
        <f t="shared" si="281"/>
        <v>0</v>
      </c>
      <c r="P1308" s="36">
        <f t="shared" si="275"/>
        <v>0</v>
      </c>
      <c r="Q1308" s="7">
        <f t="shared" si="281"/>
        <v>0</v>
      </c>
      <c r="R1308" s="36">
        <f t="shared" si="273"/>
        <v>0</v>
      </c>
    </row>
    <row r="1309" spans="1:18" ht="33" hidden="1">
      <c r="A1309" s="62" t="str">
        <f ca="1">IF(ISERROR(MATCH(E1309,Код_КВР,0)),"",INDIRECT(ADDRESS(MATCH(E1309,Код_КВР,0)+1,2,,,"КВР")))</f>
        <v>Иные закупки товаров, работ и услуг для обеспечения муниципальных нужд</v>
      </c>
      <c r="B1309" s="46" t="s">
        <v>146</v>
      </c>
      <c r="C1309" s="8" t="s">
        <v>221</v>
      </c>
      <c r="D1309" s="1" t="s">
        <v>198</v>
      </c>
      <c r="E1309" s="115">
        <v>240</v>
      </c>
      <c r="F1309" s="7">
        <f t="shared" si="281"/>
        <v>72</v>
      </c>
      <c r="G1309" s="7">
        <f t="shared" si="281"/>
        <v>0</v>
      </c>
      <c r="H1309" s="36">
        <f t="shared" si="280"/>
        <v>72</v>
      </c>
      <c r="I1309" s="7">
        <f t="shared" si="281"/>
        <v>0</v>
      </c>
      <c r="J1309" s="36">
        <f t="shared" si="276"/>
        <v>72</v>
      </c>
      <c r="K1309" s="7">
        <f t="shared" si="281"/>
        <v>-72</v>
      </c>
      <c r="L1309" s="36">
        <f t="shared" si="268"/>
        <v>0</v>
      </c>
      <c r="M1309" s="7">
        <f t="shared" si="281"/>
        <v>0</v>
      </c>
      <c r="N1309" s="36">
        <f t="shared" si="279"/>
        <v>0</v>
      </c>
      <c r="O1309" s="7">
        <f t="shared" si="281"/>
        <v>0</v>
      </c>
      <c r="P1309" s="36">
        <f t="shared" si="275"/>
        <v>0</v>
      </c>
      <c r="Q1309" s="7">
        <f t="shared" si="281"/>
        <v>0</v>
      </c>
      <c r="R1309" s="36">
        <f t="shared" si="273"/>
        <v>0</v>
      </c>
    </row>
    <row r="1310" spans="1:18" ht="33" hidden="1">
      <c r="A1310" s="62" t="str">
        <f ca="1">IF(ISERROR(MATCH(E1310,Код_КВР,0)),"",INDIRECT(ADDRESS(MATCH(E1310,Код_КВР,0)+1,2,,,"КВР")))</f>
        <v xml:space="preserve">Прочая закупка товаров, работ и услуг для обеспечения муниципальных нужд         </v>
      </c>
      <c r="B1310" s="46" t="s">
        <v>146</v>
      </c>
      <c r="C1310" s="8" t="s">
        <v>221</v>
      </c>
      <c r="D1310" s="1" t="s">
        <v>198</v>
      </c>
      <c r="E1310" s="115">
        <v>244</v>
      </c>
      <c r="F1310" s="7">
        <f>'прил.5'!G138</f>
        <v>72</v>
      </c>
      <c r="G1310" s="7">
        <f>'прил.5'!H138</f>
        <v>0</v>
      </c>
      <c r="H1310" s="36">
        <f t="shared" si="280"/>
        <v>72</v>
      </c>
      <c r="I1310" s="7">
        <f>'прил.5'!J138</f>
        <v>0</v>
      </c>
      <c r="J1310" s="36">
        <f t="shared" si="276"/>
        <v>72</v>
      </c>
      <c r="K1310" s="7">
        <f>'прил.5'!L138</f>
        <v>-72</v>
      </c>
      <c r="L1310" s="36">
        <f t="shared" si="268"/>
        <v>0</v>
      </c>
      <c r="M1310" s="7">
        <f>'прил.5'!N138</f>
        <v>0</v>
      </c>
      <c r="N1310" s="36">
        <f t="shared" si="279"/>
        <v>0</v>
      </c>
      <c r="O1310" s="7">
        <f>'прил.5'!P138</f>
        <v>0</v>
      </c>
      <c r="P1310" s="36">
        <f t="shared" si="275"/>
        <v>0</v>
      </c>
      <c r="Q1310" s="7">
        <f>'прил.5'!R138</f>
        <v>0</v>
      </c>
      <c r="R1310" s="36">
        <f t="shared" si="273"/>
        <v>0</v>
      </c>
    </row>
    <row r="1311" spans="1:18" ht="33">
      <c r="A1311" s="62" t="str">
        <f ca="1">IF(ISERROR(MATCH(B1311,Код_КЦСР,0)),"",INDIRECT(ADDRESS(MATCH(B1311,Код_КЦСР,0)+1,2,,,"КЦСР")))</f>
        <v>Проведение мероприятий по формированию благоприятного имиджа города</v>
      </c>
      <c r="B1311" s="46" t="s">
        <v>148</v>
      </c>
      <c r="C1311" s="8"/>
      <c r="D1311" s="1"/>
      <c r="E1311" s="115"/>
      <c r="F1311" s="7">
        <f>F1312+F1317</f>
        <v>495.7</v>
      </c>
      <c r="G1311" s="7">
        <f>G1312+G1317</f>
        <v>0</v>
      </c>
      <c r="H1311" s="36">
        <f t="shared" si="280"/>
        <v>495.7</v>
      </c>
      <c r="I1311" s="7">
        <f>I1312+I1317</f>
        <v>0</v>
      </c>
      <c r="J1311" s="36">
        <f t="shared" si="276"/>
        <v>495.7</v>
      </c>
      <c r="K1311" s="7">
        <f>K1312+K1317</f>
        <v>0</v>
      </c>
      <c r="L1311" s="36">
        <f t="shared" si="268"/>
        <v>495.7</v>
      </c>
      <c r="M1311" s="7">
        <f>M1312+M1317</f>
        <v>0</v>
      </c>
      <c r="N1311" s="36">
        <f t="shared" si="279"/>
        <v>495.7</v>
      </c>
      <c r="O1311" s="7">
        <f>O1312+O1317</f>
        <v>0</v>
      </c>
      <c r="P1311" s="36">
        <f t="shared" si="275"/>
        <v>495.7</v>
      </c>
      <c r="Q1311" s="7">
        <f>Q1312+Q1317</f>
        <v>59.5</v>
      </c>
      <c r="R1311" s="36">
        <f t="shared" si="273"/>
        <v>555.2</v>
      </c>
    </row>
    <row r="1312" spans="1:18" ht="12.75">
      <c r="A1312" s="62" t="str">
        <f ca="1">IF(ISERROR(MATCH(C1312,Код_Раздел,0)),"",INDIRECT(ADDRESS(MATCH(C1312,Код_Раздел,0)+1,2,,,"Раздел")))</f>
        <v>Общегосударственные  вопросы</v>
      </c>
      <c r="B1312" s="46" t="s">
        <v>148</v>
      </c>
      <c r="C1312" s="8" t="s">
        <v>221</v>
      </c>
      <c r="D1312" s="1"/>
      <c r="E1312" s="115"/>
      <c r="F1312" s="7">
        <f aca="true" t="shared" si="282" ref="F1312:Q1315">F1313</f>
        <v>411.5</v>
      </c>
      <c r="G1312" s="7">
        <f t="shared" si="282"/>
        <v>0</v>
      </c>
      <c r="H1312" s="36">
        <f t="shared" si="280"/>
        <v>411.5</v>
      </c>
      <c r="I1312" s="7">
        <f t="shared" si="282"/>
        <v>0</v>
      </c>
      <c r="J1312" s="36">
        <f t="shared" si="276"/>
        <v>411.5</v>
      </c>
      <c r="K1312" s="7">
        <f t="shared" si="282"/>
        <v>0</v>
      </c>
      <c r="L1312" s="36">
        <f t="shared" si="268"/>
        <v>411.5</v>
      </c>
      <c r="M1312" s="7">
        <f t="shared" si="282"/>
        <v>0</v>
      </c>
      <c r="N1312" s="36">
        <f t="shared" si="279"/>
        <v>411.5</v>
      </c>
      <c r="O1312" s="7">
        <f t="shared" si="282"/>
        <v>0</v>
      </c>
      <c r="P1312" s="36">
        <f t="shared" si="275"/>
        <v>411.5</v>
      </c>
      <c r="Q1312" s="7">
        <f t="shared" si="282"/>
        <v>59.5</v>
      </c>
      <c r="R1312" s="36">
        <f t="shared" si="273"/>
        <v>471</v>
      </c>
    </row>
    <row r="1313" spans="1:18" ht="12.75">
      <c r="A1313" s="12" t="s">
        <v>245</v>
      </c>
      <c r="B1313" s="46" t="s">
        <v>148</v>
      </c>
      <c r="C1313" s="8" t="s">
        <v>221</v>
      </c>
      <c r="D1313" s="1" t="s">
        <v>198</v>
      </c>
      <c r="E1313" s="115"/>
      <c r="F1313" s="7">
        <f t="shared" si="282"/>
        <v>411.5</v>
      </c>
      <c r="G1313" s="7">
        <f t="shared" si="282"/>
        <v>0</v>
      </c>
      <c r="H1313" s="36">
        <f t="shared" si="280"/>
        <v>411.5</v>
      </c>
      <c r="I1313" s="7">
        <f t="shared" si="282"/>
        <v>0</v>
      </c>
      <c r="J1313" s="36">
        <f t="shared" si="276"/>
        <v>411.5</v>
      </c>
      <c r="K1313" s="7">
        <f t="shared" si="282"/>
        <v>0</v>
      </c>
      <c r="L1313" s="36">
        <f t="shared" si="268"/>
        <v>411.5</v>
      </c>
      <c r="M1313" s="7">
        <f t="shared" si="282"/>
        <v>0</v>
      </c>
      <c r="N1313" s="36">
        <f t="shared" si="279"/>
        <v>411.5</v>
      </c>
      <c r="O1313" s="7">
        <f t="shared" si="282"/>
        <v>0</v>
      </c>
      <c r="P1313" s="36">
        <f t="shared" si="275"/>
        <v>411.5</v>
      </c>
      <c r="Q1313" s="7">
        <f t="shared" si="282"/>
        <v>59.5</v>
      </c>
      <c r="R1313" s="36">
        <f t="shared" si="273"/>
        <v>471</v>
      </c>
    </row>
    <row r="1314" spans="1:18" ht="12.75">
      <c r="A1314" s="62" t="str">
        <f ca="1">IF(ISERROR(MATCH(E1314,Код_КВР,0)),"",INDIRECT(ADDRESS(MATCH(E1314,Код_КВР,0)+1,2,,,"КВР")))</f>
        <v>Закупка товаров, работ и услуг для муниципальных нужд</v>
      </c>
      <c r="B1314" s="46" t="s">
        <v>148</v>
      </c>
      <c r="C1314" s="8" t="s">
        <v>221</v>
      </c>
      <c r="D1314" s="1" t="s">
        <v>198</v>
      </c>
      <c r="E1314" s="115">
        <v>200</v>
      </c>
      <c r="F1314" s="7">
        <f t="shared" si="282"/>
        <v>411.5</v>
      </c>
      <c r="G1314" s="7">
        <f t="shared" si="282"/>
        <v>0</v>
      </c>
      <c r="H1314" s="36">
        <f t="shared" si="280"/>
        <v>411.5</v>
      </c>
      <c r="I1314" s="7">
        <f t="shared" si="282"/>
        <v>0</v>
      </c>
      <c r="J1314" s="36">
        <f t="shared" si="276"/>
        <v>411.5</v>
      </c>
      <c r="K1314" s="7">
        <f t="shared" si="282"/>
        <v>0</v>
      </c>
      <c r="L1314" s="36">
        <f t="shared" si="268"/>
        <v>411.5</v>
      </c>
      <c r="M1314" s="7">
        <f t="shared" si="282"/>
        <v>0</v>
      </c>
      <c r="N1314" s="36">
        <f t="shared" si="279"/>
        <v>411.5</v>
      </c>
      <c r="O1314" s="7">
        <f t="shared" si="282"/>
        <v>0</v>
      </c>
      <c r="P1314" s="36">
        <f t="shared" si="275"/>
        <v>411.5</v>
      </c>
      <c r="Q1314" s="7">
        <f t="shared" si="282"/>
        <v>59.5</v>
      </c>
      <c r="R1314" s="36">
        <f t="shared" si="273"/>
        <v>471</v>
      </c>
    </row>
    <row r="1315" spans="1:18" ht="33">
      <c r="A1315" s="62" t="str">
        <f ca="1">IF(ISERROR(MATCH(E1315,Код_КВР,0)),"",INDIRECT(ADDRESS(MATCH(E1315,Код_КВР,0)+1,2,,,"КВР")))</f>
        <v>Иные закупки товаров, работ и услуг для обеспечения муниципальных нужд</v>
      </c>
      <c r="B1315" s="46" t="s">
        <v>148</v>
      </c>
      <c r="C1315" s="8" t="s">
        <v>221</v>
      </c>
      <c r="D1315" s="1" t="s">
        <v>198</v>
      </c>
      <c r="E1315" s="115">
        <v>240</v>
      </c>
      <c r="F1315" s="7">
        <f t="shared" si="282"/>
        <v>411.5</v>
      </c>
      <c r="G1315" s="7">
        <f t="shared" si="282"/>
        <v>0</v>
      </c>
      <c r="H1315" s="36">
        <f t="shared" si="280"/>
        <v>411.5</v>
      </c>
      <c r="I1315" s="7">
        <f t="shared" si="282"/>
        <v>0</v>
      </c>
      <c r="J1315" s="36">
        <f t="shared" si="276"/>
        <v>411.5</v>
      </c>
      <c r="K1315" s="7">
        <f t="shared" si="282"/>
        <v>0</v>
      </c>
      <c r="L1315" s="36">
        <f t="shared" si="268"/>
        <v>411.5</v>
      </c>
      <c r="M1315" s="7">
        <f t="shared" si="282"/>
        <v>0</v>
      </c>
      <c r="N1315" s="36">
        <f t="shared" si="279"/>
        <v>411.5</v>
      </c>
      <c r="O1315" s="7">
        <f t="shared" si="282"/>
        <v>0</v>
      </c>
      <c r="P1315" s="36">
        <f t="shared" si="275"/>
        <v>411.5</v>
      </c>
      <c r="Q1315" s="7">
        <f t="shared" si="282"/>
        <v>59.5</v>
      </c>
      <c r="R1315" s="36">
        <f t="shared" si="273"/>
        <v>471</v>
      </c>
    </row>
    <row r="1316" spans="1:18" ht="33">
      <c r="A1316" s="62" t="str">
        <f ca="1">IF(ISERROR(MATCH(E1316,Код_КВР,0)),"",INDIRECT(ADDRESS(MATCH(E1316,Код_КВР,0)+1,2,,,"КВР")))</f>
        <v xml:space="preserve">Прочая закупка товаров, работ и услуг для обеспечения муниципальных нужд         </v>
      </c>
      <c r="B1316" s="46" t="s">
        <v>148</v>
      </c>
      <c r="C1316" s="8" t="s">
        <v>221</v>
      </c>
      <c r="D1316" s="1" t="s">
        <v>198</v>
      </c>
      <c r="E1316" s="115">
        <v>244</v>
      </c>
      <c r="F1316" s="7">
        <f>'прил.5'!G142</f>
        <v>411.5</v>
      </c>
      <c r="G1316" s="7">
        <f>'прил.5'!H142</f>
        <v>0</v>
      </c>
      <c r="H1316" s="36">
        <f t="shared" si="280"/>
        <v>411.5</v>
      </c>
      <c r="I1316" s="7">
        <f>'прил.5'!J142</f>
        <v>0</v>
      </c>
      <c r="J1316" s="36">
        <f t="shared" si="276"/>
        <v>411.5</v>
      </c>
      <c r="K1316" s="7">
        <f>'прил.5'!L142</f>
        <v>0</v>
      </c>
      <c r="L1316" s="36">
        <f t="shared" si="268"/>
        <v>411.5</v>
      </c>
      <c r="M1316" s="7">
        <f>'прил.5'!N142</f>
        <v>0</v>
      </c>
      <c r="N1316" s="36">
        <f t="shared" si="279"/>
        <v>411.5</v>
      </c>
      <c r="O1316" s="7">
        <f>'прил.5'!P142</f>
        <v>0</v>
      </c>
      <c r="P1316" s="36">
        <f t="shared" si="275"/>
        <v>411.5</v>
      </c>
      <c r="Q1316" s="7">
        <f>'прил.5'!R142</f>
        <v>59.5</v>
      </c>
      <c r="R1316" s="36">
        <f t="shared" si="273"/>
        <v>471</v>
      </c>
    </row>
    <row r="1317" spans="1:18" ht="12.75">
      <c r="A1317" s="62" t="str">
        <f ca="1">IF(ISERROR(MATCH(C1317,Код_Раздел,0)),"",INDIRECT(ADDRESS(MATCH(C1317,Код_Раздел,0)+1,2,,,"Раздел")))</f>
        <v>Жилищно-коммунальное хозяйство</v>
      </c>
      <c r="B1317" s="46" t="s">
        <v>148</v>
      </c>
      <c r="C1317" s="8" t="s">
        <v>229</v>
      </c>
      <c r="D1317" s="1"/>
      <c r="E1317" s="115"/>
      <c r="F1317" s="7">
        <f aca="true" t="shared" si="283" ref="F1317:Q1320">F1318</f>
        <v>84.2</v>
      </c>
      <c r="G1317" s="7">
        <f t="shared" si="283"/>
        <v>0</v>
      </c>
      <c r="H1317" s="36">
        <f t="shared" si="280"/>
        <v>84.2</v>
      </c>
      <c r="I1317" s="7">
        <f t="shared" si="283"/>
        <v>0</v>
      </c>
      <c r="J1317" s="36">
        <f t="shared" si="276"/>
        <v>84.2</v>
      </c>
      <c r="K1317" s="7">
        <f t="shared" si="283"/>
        <v>0</v>
      </c>
      <c r="L1317" s="36">
        <f t="shared" si="268"/>
        <v>84.2</v>
      </c>
      <c r="M1317" s="7">
        <f t="shared" si="283"/>
        <v>0</v>
      </c>
      <c r="N1317" s="36">
        <f t="shared" si="279"/>
        <v>84.2</v>
      </c>
      <c r="O1317" s="7">
        <f t="shared" si="283"/>
        <v>0</v>
      </c>
      <c r="P1317" s="36">
        <f t="shared" si="275"/>
        <v>84.2</v>
      </c>
      <c r="Q1317" s="7">
        <f t="shared" si="283"/>
        <v>0</v>
      </c>
      <c r="R1317" s="36">
        <f t="shared" si="273"/>
        <v>84.2</v>
      </c>
    </row>
    <row r="1318" spans="1:18" ht="12.75">
      <c r="A1318" s="62" t="s">
        <v>260</v>
      </c>
      <c r="B1318" s="46" t="s">
        <v>148</v>
      </c>
      <c r="C1318" s="8" t="s">
        <v>229</v>
      </c>
      <c r="D1318" s="8" t="s">
        <v>223</v>
      </c>
      <c r="E1318" s="115"/>
      <c r="F1318" s="7">
        <f t="shared" si="283"/>
        <v>84.2</v>
      </c>
      <c r="G1318" s="7">
        <f t="shared" si="283"/>
        <v>0</v>
      </c>
      <c r="H1318" s="36">
        <f t="shared" si="280"/>
        <v>84.2</v>
      </c>
      <c r="I1318" s="7">
        <f t="shared" si="283"/>
        <v>0</v>
      </c>
      <c r="J1318" s="36">
        <f t="shared" si="276"/>
        <v>84.2</v>
      </c>
      <c r="K1318" s="7">
        <f t="shared" si="283"/>
        <v>0</v>
      </c>
      <c r="L1318" s="36">
        <f t="shared" si="268"/>
        <v>84.2</v>
      </c>
      <c r="M1318" s="7">
        <f t="shared" si="283"/>
        <v>0</v>
      </c>
      <c r="N1318" s="36">
        <f t="shared" si="279"/>
        <v>84.2</v>
      </c>
      <c r="O1318" s="7">
        <f t="shared" si="283"/>
        <v>0</v>
      </c>
      <c r="P1318" s="36">
        <f t="shared" si="275"/>
        <v>84.2</v>
      </c>
      <c r="Q1318" s="7">
        <f t="shared" si="283"/>
        <v>0</v>
      </c>
      <c r="R1318" s="36">
        <f t="shared" si="273"/>
        <v>84.2</v>
      </c>
    </row>
    <row r="1319" spans="1:18" ht="12.75">
      <c r="A1319" s="62" t="str">
        <f ca="1">IF(ISERROR(MATCH(E1319,Код_КВР,0)),"",INDIRECT(ADDRESS(MATCH(E1319,Код_КВР,0)+1,2,,,"КВР")))</f>
        <v>Закупка товаров, работ и услуг для муниципальных нужд</v>
      </c>
      <c r="B1319" s="46" t="s">
        <v>148</v>
      </c>
      <c r="C1319" s="8" t="s">
        <v>229</v>
      </c>
      <c r="D1319" s="8" t="s">
        <v>223</v>
      </c>
      <c r="E1319" s="115">
        <v>200</v>
      </c>
      <c r="F1319" s="7">
        <f t="shared" si="283"/>
        <v>84.2</v>
      </c>
      <c r="G1319" s="7">
        <f t="shared" si="283"/>
        <v>0</v>
      </c>
      <c r="H1319" s="36">
        <f t="shared" si="280"/>
        <v>84.2</v>
      </c>
      <c r="I1319" s="7">
        <f t="shared" si="283"/>
        <v>0</v>
      </c>
      <c r="J1319" s="36">
        <f t="shared" si="276"/>
        <v>84.2</v>
      </c>
      <c r="K1319" s="7">
        <f t="shared" si="283"/>
        <v>0</v>
      </c>
      <c r="L1319" s="36">
        <f t="shared" si="268"/>
        <v>84.2</v>
      </c>
      <c r="M1319" s="7">
        <f t="shared" si="283"/>
        <v>0</v>
      </c>
      <c r="N1319" s="36">
        <f t="shared" si="279"/>
        <v>84.2</v>
      </c>
      <c r="O1319" s="7">
        <f t="shared" si="283"/>
        <v>0</v>
      </c>
      <c r="P1319" s="36">
        <f t="shared" si="275"/>
        <v>84.2</v>
      </c>
      <c r="Q1319" s="7">
        <f t="shared" si="283"/>
        <v>0</v>
      </c>
      <c r="R1319" s="36">
        <f t="shared" si="273"/>
        <v>84.2</v>
      </c>
    </row>
    <row r="1320" spans="1:18" ht="33">
      <c r="A1320" s="62" t="str">
        <f ca="1">IF(ISERROR(MATCH(E1320,Код_КВР,0)),"",INDIRECT(ADDRESS(MATCH(E1320,Код_КВР,0)+1,2,,,"КВР")))</f>
        <v>Иные закупки товаров, работ и услуг для обеспечения муниципальных нужд</v>
      </c>
      <c r="B1320" s="46" t="s">
        <v>148</v>
      </c>
      <c r="C1320" s="8" t="s">
        <v>229</v>
      </c>
      <c r="D1320" s="8" t="s">
        <v>223</v>
      </c>
      <c r="E1320" s="115">
        <v>240</v>
      </c>
      <c r="F1320" s="7">
        <f t="shared" si="283"/>
        <v>84.2</v>
      </c>
      <c r="G1320" s="7">
        <f t="shared" si="283"/>
        <v>0</v>
      </c>
      <c r="H1320" s="36">
        <f t="shared" si="280"/>
        <v>84.2</v>
      </c>
      <c r="I1320" s="7">
        <f t="shared" si="283"/>
        <v>0</v>
      </c>
      <c r="J1320" s="36">
        <f t="shared" si="276"/>
        <v>84.2</v>
      </c>
      <c r="K1320" s="7">
        <f t="shared" si="283"/>
        <v>0</v>
      </c>
      <c r="L1320" s="36">
        <f t="shared" si="268"/>
        <v>84.2</v>
      </c>
      <c r="M1320" s="7">
        <f t="shared" si="283"/>
        <v>0</v>
      </c>
      <c r="N1320" s="36">
        <f t="shared" si="279"/>
        <v>84.2</v>
      </c>
      <c r="O1320" s="7">
        <f t="shared" si="283"/>
        <v>0</v>
      </c>
      <c r="P1320" s="36">
        <f t="shared" si="275"/>
        <v>84.2</v>
      </c>
      <c r="Q1320" s="7">
        <f t="shared" si="283"/>
        <v>0</v>
      </c>
      <c r="R1320" s="36">
        <f t="shared" si="273"/>
        <v>84.2</v>
      </c>
    </row>
    <row r="1321" spans="1:18" ht="33">
      <c r="A1321" s="62" t="str">
        <f ca="1">IF(ISERROR(MATCH(E1321,Код_КВР,0)),"",INDIRECT(ADDRESS(MATCH(E1321,Код_КВР,0)+1,2,,,"КВР")))</f>
        <v xml:space="preserve">Прочая закупка товаров, работ и услуг для обеспечения муниципальных нужд         </v>
      </c>
      <c r="B1321" s="46" t="s">
        <v>148</v>
      </c>
      <c r="C1321" s="8" t="s">
        <v>229</v>
      </c>
      <c r="D1321" s="8" t="s">
        <v>223</v>
      </c>
      <c r="E1321" s="115">
        <v>244</v>
      </c>
      <c r="F1321" s="7">
        <f>'прил.5'!G505</f>
        <v>84.2</v>
      </c>
      <c r="G1321" s="7">
        <f>'прил.5'!H505</f>
        <v>0</v>
      </c>
      <c r="H1321" s="36">
        <f t="shared" si="280"/>
        <v>84.2</v>
      </c>
      <c r="I1321" s="7">
        <f>'прил.5'!J505</f>
        <v>0</v>
      </c>
      <c r="J1321" s="36">
        <f t="shared" si="276"/>
        <v>84.2</v>
      </c>
      <c r="K1321" s="7">
        <f>'прил.5'!L505</f>
        <v>0</v>
      </c>
      <c r="L1321" s="36">
        <f t="shared" si="268"/>
        <v>84.2</v>
      </c>
      <c r="M1321" s="7">
        <f>'прил.5'!N505</f>
        <v>0</v>
      </c>
      <c r="N1321" s="36">
        <f t="shared" si="279"/>
        <v>84.2</v>
      </c>
      <c r="O1321" s="7">
        <f>'прил.5'!P505</f>
        <v>0</v>
      </c>
      <c r="P1321" s="36">
        <f t="shared" si="275"/>
        <v>84.2</v>
      </c>
      <c r="Q1321" s="7">
        <f>'прил.5'!R505</f>
        <v>0</v>
      </c>
      <c r="R1321" s="36">
        <f t="shared" si="273"/>
        <v>84.2</v>
      </c>
    </row>
    <row r="1322" spans="1:18" ht="33">
      <c r="A1322" s="62" t="str">
        <f ca="1">IF(ISERROR(MATCH(B1322,Код_КЦСР,0)),"",INDIRECT(ADDRESS(MATCH(B1322,Код_КЦСР,0)+1,2,,,"КЦСР")))</f>
        <v>Формирование презентационных пакетов, включая папки и открытки</v>
      </c>
      <c r="B1322" s="46" t="s">
        <v>150</v>
      </c>
      <c r="C1322" s="8"/>
      <c r="D1322" s="1"/>
      <c r="E1322" s="115"/>
      <c r="F1322" s="7">
        <f aca="true" t="shared" si="284" ref="F1322:Q1326">F1323</f>
        <v>720</v>
      </c>
      <c r="G1322" s="7">
        <f t="shared" si="284"/>
        <v>0</v>
      </c>
      <c r="H1322" s="36">
        <f t="shared" si="280"/>
        <v>720</v>
      </c>
      <c r="I1322" s="7">
        <f t="shared" si="284"/>
        <v>0</v>
      </c>
      <c r="J1322" s="36">
        <f t="shared" si="276"/>
        <v>720</v>
      </c>
      <c r="K1322" s="7">
        <f t="shared" si="284"/>
        <v>0</v>
      </c>
      <c r="L1322" s="36">
        <f t="shared" si="268"/>
        <v>720</v>
      </c>
      <c r="M1322" s="7">
        <f t="shared" si="284"/>
        <v>205.6</v>
      </c>
      <c r="N1322" s="36">
        <f t="shared" si="279"/>
        <v>925.6</v>
      </c>
      <c r="O1322" s="7">
        <f t="shared" si="284"/>
        <v>0</v>
      </c>
      <c r="P1322" s="36">
        <f t="shared" si="275"/>
        <v>925.6</v>
      </c>
      <c r="Q1322" s="7">
        <f t="shared" si="284"/>
        <v>115.2</v>
      </c>
      <c r="R1322" s="36">
        <f t="shared" si="273"/>
        <v>1040.8</v>
      </c>
    </row>
    <row r="1323" spans="1:18" ht="12.75">
      <c r="A1323" s="62" t="str">
        <f ca="1">IF(ISERROR(MATCH(C1323,Код_Раздел,0)),"",INDIRECT(ADDRESS(MATCH(C1323,Код_Раздел,0)+1,2,,,"Раздел")))</f>
        <v>Общегосударственные  вопросы</v>
      </c>
      <c r="B1323" s="46" t="s">
        <v>150</v>
      </c>
      <c r="C1323" s="8" t="s">
        <v>221</v>
      </c>
      <c r="D1323" s="1"/>
      <c r="E1323" s="115"/>
      <c r="F1323" s="7">
        <f t="shared" si="284"/>
        <v>720</v>
      </c>
      <c r="G1323" s="7">
        <f t="shared" si="284"/>
        <v>0</v>
      </c>
      <c r="H1323" s="36">
        <f t="shared" si="280"/>
        <v>720</v>
      </c>
      <c r="I1323" s="7">
        <f t="shared" si="284"/>
        <v>0</v>
      </c>
      <c r="J1323" s="36">
        <f t="shared" si="276"/>
        <v>720</v>
      </c>
      <c r="K1323" s="7">
        <f t="shared" si="284"/>
        <v>0</v>
      </c>
      <c r="L1323" s="36">
        <f t="shared" si="268"/>
        <v>720</v>
      </c>
      <c r="M1323" s="7">
        <f t="shared" si="284"/>
        <v>205.6</v>
      </c>
      <c r="N1323" s="36">
        <f t="shared" si="279"/>
        <v>925.6</v>
      </c>
      <c r="O1323" s="7">
        <f t="shared" si="284"/>
        <v>0</v>
      </c>
      <c r="P1323" s="36">
        <f t="shared" si="275"/>
        <v>925.6</v>
      </c>
      <c r="Q1323" s="7">
        <f t="shared" si="284"/>
        <v>115.2</v>
      </c>
      <c r="R1323" s="36">
        <f t="shared" si="273"/>
        <v>1040.8</v>
      </c>
    </row>
    <row r="1324" spans="1:18" ht="12.75">
      <c r="A1324" s="12" t="s">
        <v>245</v>
      </c>
      <c r="B1324" s="46" t="s">
        <v>150</v>
      </c>
      <c r="C1324" s="8" t="s">
        <v>221</v>
      </c>
      <c r="D1324" s="1" t="s">
        <v>198</v>
      </c>
      <c r="E1324" s="115"/>
      <c r="F1324" s="7">
        <f t="shared" si="284"/>
        <v>720</v>
      </c>
      <c r="G1324" s="7">
        <f t="shared" si="284"/>
        <v>0</v>
      </c>
      <c r="H1324" s="36">
        <f t="shared" si="280"/>
        <v>720</v>
      </c>
      <c r="I1324" s="7">
        <f t="shared" si="284"/>
        <v>0</v>
      </c>
      <c r="J1324" s="36">
        <f t="shared" si="276"/>
        <v>720</v>
      </c>
      <c r="K1324" s="7">
        <f t="shared" si="284"/>
        <v>0</v>
      </c>
      <c r="L1324" s="36">
        <f aca="true" t="shared" si="285" ref="L1324:L1387">J1324+K1324</f>
        <v>720</v>
      </c>
      <c r="M1324" s="7">
        <f t="shared" si="284"/>
        <v>205.6</v>
      </c>
      <c r="N1324" s="36">
        <f t="shared" si="279"/>
        <v>925.6</v>
      </c>
      <c r="O1324" s="7">
        <f t="shared" si="284"/>
        <v>0</v>
      </c>
      <c r="P1324" s="36">
        <f t="shared" si="275"/>
        <v>925.6</v>
      </c>
      <c r="Q1324" s="7">
        <f t="shared" si="284"/>
        <v>115.2</v>
      </c>
      <c r="R1324" s="36">
        <f t="shared" si="273"/>
        <v>1040.8</v>
      </c>
    </row>
    <row r="1325" spans="1:18" ht="12.75">
      <c r="A1325" s="62" t="str">
        <f ca="1">IF(ISERROR(MATCH(E1325,Код_КВР,0)),"",INDIRECT(ADDRESS(MATCH(E1325,Код_КВР,0)+1,2,,,"КВР")))</f>
        <v>Закупка товаров, работ и услуг для муниципальных нужд</v>
      </c>
      <c r="B1325" s="46" t="s">
        <v>150</v>
      </c>
      <c r="C1325" s="8" t="s">
        <v>221</v>
      </c>
      <c r="D1325" s="1" t="s">
        <v>198</v>
      </c>
      <c r="E1325" s="115">
        <v>200</v>
      </c>
      <c r="F1325" s="7">
        <f t="shared" si="284"/>
        <v>720</v>
      </c>
      <c r="G1325" s="7">
        <f t="shared" si="284"/>
        <v>0</v>
      </c>
      <c r="H1325" s="36">
        <f t="shared" si="280"/>
        <v>720</v>
      </c>
      <c r="I1325" s="7">
        <f t="shared" si="284"/>
        <v>0</v>
      </c>
      <c r="J1325" s="36">
        <f t="shared" si="276"/>
        <v>720</v>
      </c>
      <c r="K1325" s="7">
        <f t="shared" si="284"/>
        <v>0</v>
      </c>
      <c r="L1325" s="36">
        <f t="shared" si="285"/>
        <v>720</v>
      </c>
      <c r="M1325" s="7">
        <f t="shared" si="284"/>
        <v>205.6</v>
      </c>
      <c r="N1325" s="36">
        <f t="shared" si="279"/>
        <v>925.6</v>
      </c>
      <c r="O1325" s="7">
        <f t="shared" si="284"/>
        <v>0</v>
      </c>
      <c r="P1325" s="36">
        <f t="shared" si="275"/>
        <v>925.6</v>
      </c>
      <c r="Q1325" s="7">
        <f t="shared" si="284"/>
        <v>115.2</v>
      </c>
      <c r="R1325" s="36">
        <f t="shared" si="273"/>
        <v>1040.8</v>
      </c>
    </row>
    <row r="1326" spans="1:18" ht="33">
      <c r="A1326" s="62" t="str">
        <f ca="1">IF(ISERROR(MATCH(E1326,Код_КВР,0)),"",INDIRECT(ADDRESS(MATCH(E1326,Код_КВР,0)+1,2,,,"КВР")))</f>
        <v>Иные закупки товаров, работ и услуг для обеспечения муниципальных нужд</v>
      </c>
      <c r="B1326" s="46" t="s">
        <v>150</v>
      </c>
      <c r="C1326" s="8" t="s">
        <v>221</v>
      </c>
      <c r="D1326" s="1" t="s">
        <v>198</v>
      </c>
      <c r="E1326" s="115">
        <v>240</v>
      </c>
      <c r="F1326" s="7">
        <f t="shared" si="284"/>
        <v>720</v>
      </c>
      <c r="G1326" s="7">
        <f t="shared" si="284"/>
        <v>0</v>
      </c>
      <c r="H1326" s="36">
        <f t="shared" si="280"/>
        <v>720</v>
      </c>
      <c r="I1326" s="7">
        <f t="shared" si="284"/>
        <v>0</v>
      </c>
      <c r="J1326" s="36">
        <f t="shared" si="276"/>
        <v>720</v>
      </c>
      <c r="K1326" s="7">
        <f t="shared" si="284"/>
        <v>0</v>
      </c>
      <c r="L1326" s="36">
        <f t="shared" si="285"/>
        <v>720</v>
      </c>
      <c r="M1326" s="7">
        <f t="shared" si="284"/>
        <v>205.6</v>
      </c>
      <c r="N1326" s="36">
        <f t="shared" si="279"/>
        <v>925.6</v>
      </c>
      <c r="O1326" s="7">
        <f t="shared" si="284"/>
        <v>0</v>
      </c>
      <c r="P1326" s="36">
        <f t="shared" si="275"/>
        <v>925.6</v>
      </c>
      <c r="Q1326" s="7">
        <f t="shared" si="284"/>
        <v>115.2</v>
      </c>
      <c r="R1326" s="36">
        <f t="shared" si="273"/>
        <v>1040.8</v>
      </c>
    </row>
    <row r="1327" spans="1:18" ht="33">
      <c r="A1327" s="62" t="str">
        <f ca="1">IF(ISERROR(MATCH(E1327,Код_КВР,0)),"",INDIRECT(ADDRESS(MATCH(E1327,Код_КВР,0)+1,2,,,"КВР")))</f>
        <v xml:space="preserve">Прочая закупка товаров, работ и услуг для обеспечения муниципальных нужд         </v>
      </c>
      <c r="B1327" s="46" t="s">
        <v>150</v>
      </c>
      <c r="C1327" s="8" t="s">
        <v>221</v>
      </c>
      <c r="D1327" s="1" t="s">
        <v>198</v>
      </c>
      <c r="E1327" s="115">
        <v>244</v>
      </c>
      <c r="F1327" s="7">
        <f>'прил.5'!G146</f>
        <v>720</v>
      </c>
      <c r="G1327" s="7">
        <f>'прил.5'!H146</f>
        <v>0</v>
      </c>
      <c r="H1327" s="36">
        <f t="shared" si="280"/>
        <v>720</v>
      </c>
      <c r="I1327" s="7">
        <f>'прил.5'!J146</f>
        <v>0</v>
      </c>
      <c r="J1327" s="36">
        <f t="shared" si="276"/>
        <v>720</v>
      </c>
      <c r="K1327" s="7">
        <f>'прил.5'!L146</f>
        <v>0</v>
      </c>
      <c r="L1327" s="36">
        <f t="shared" si="285"/>
        <v>720</v>
      </c>
      <c r="M1327" s="7">
        <f>'прил.5'!N146</f>
        <v>205.6</v>
      </c>
      <c r="N1327" s="36">
        <f t="shared" si="279"/>
        <v>925.6</v>
      </c>
      <c r="O1327" s="7">
        <f>'прил.5'!P146</f>
        <v>0</v>
      </c>
      <c r="P1327" s="36">
        <f t="shared" si="275"/>
        <v>925.6</v>
      </c>
      <c r="Q1327" s="7">
        <f>'прил.5'!R146</f>
        <v>115.2</v>
      </c>
      <c r="R1327" s="36">
        <f t="shared" si="273"/>
        <v>1040.8</v>
      </c>
    </row>
    <row r="1328" spans="1:18" ht="12.75">
      <c r="A1328" s="62" t="str">
        <f ca="1">IF(ISERROR(MATCH(B1328,Код_КЦСР,0)),"",INDIRECT(ADDRESS(MATCH(B1328,Код_КЦСР,0)+1,2,,,"КЦСР")))</f>
        <v>Оплата членских взносов в союзы и ассоциации</v>
      </c>
      <c r="B1328" s="46" t="s">
        <v>152</v>
      </c>
      <c r="C1328" s="8"/>
      <c r="D1328" s="1"/>
      <c r="E1328" s="115"/>
      <c r="F1328" s="7">
        <f aca="true" t="shared" si="286" ref="F1328:Q1332">F1329</f>
        <v>479.7</v>
      </c>
      <c r="G1328" s="7">
        <f t="shared" si="286"/>
        <v>0</v>
      </c>
      <c r="H1328" s="36">
        <f t="shared" si="280"/>
        <v>479.7</v>
      </c>
      <c r="I1328" s="7">
        <f t="shared" si="286"/>
        <v>0</v>
      </c>
      <c r="J1328" s="36">
        <f t="shared" si="276"/>
        <v>479.7</v>
      </c>
      <c r="K1328" s="7">
        <f t="shared" si="286"/>
        <v>0</v>
      </c>
      <c r="L1328" s="36">
        <f t="shared" si="285"/>
        <v>479.7</v>
      </c>
      <c r="M1328" s="7">
        <f t="shared" si="286"/>
        <v>0</v>
      </c>
      <c r="N1328" s="36">
        <f t="shared" si="279"/>
        <v>479.7</v>
      </c>
      <c r="O1328" s="7">
        <f t="shared" si="286"/>
        <v>0</v>
      </c>
      <c r="P1328" s="36">
        <f t="shared" si="275"/>
        <v>479.7</v>
      </c>
      <c r="Q1328" s="7">
        <f t="shared" si="286"/>
        <v>14.2</v>
      </c>
      <c r="R1328" s="36">
        <f t="shared" si="273"/>
        <v>493.9</v>
      </c>
    </row>
    <row r="1329" spans="1:18" ht="12.75">
      <c r="A1329" s="62" t="str">
        <f ca="1">IF(ISERROR(MATCH(C1329,Код_Раздел,0)),"",INDIRECT(ADDRESS(MATCH(C1329,Код_Раздел,0)+1,2,,,"Раздел")))</f>
        <v>Общегосударственные  вопросы</v>
      </c>
      <c r="B1329" s="46" t="s">
        <v>152</v>
      </c>
      <c r="C1329" s="8" t="s">
        <v>221</v>
      </c>
      <c r="D1329" s="1"/>
      <c r="E1329" s="115"/>
      <c r="F1329" s="7">
        <f t="shared" si="286"/>
        <v>479.7</v>
      </c>
      <c r="G1329" s="7">
        <f t="shared" si="286"/>
        <v>0</v>
      </c>
      <c r="H1329" s="36">
        <f t="shared" si="280"/>
        <v>479.7</v>
      </c>
      <c r="I1329" s="7">
        <f t="shared" si="286"/>
        <v>0</v>
      </c>
      <c r="J1329" s="36">
        <f t="shared" si="276"/>
        <v>479.7</v>
      </c>
      <c r="K1329" s="7">
        <f t="shared" si="286"/>
        <v>0</v>
      </c>
      <c r="L1329" s="36">
        <f t="shared" si="285"/>
        <v>479.7</v>
      </c>
      <c r="M1329" s="7">
        <f t="shared" si="286"/>
        <v>0</v>
      </c>
      <c r="N1329" s="36">
        <f t="shared" si="279"/>
        <v>479.7</v>
      </c>
      <c r="O1329" s="7">
        <f t="shared" si="286"/>
        <v>0</v>
      </c>
      <c r="P1329" s="36">
        <f t="shared" si="275"/>
        <v>479.7</v>
      </c>
      <c r="Q1329" s="7">
        <f t="shared" si="286"/>
        <v>14.2</v>
      </c>
      <c r="R1329" s="36">
        <f t="shared" si="273"/>
        <v>493.9</v>
      </c>
    </row>
    <row r="1330" spans="1:18" ht="12.75">
      <c r="A1330" s="12" t="s">
        <v>245</v>
      </c>
      <c r="B1330" s="46" t="s">
        <v>152</v>
      </c>
      <c r="C1330" s="8" t="s">
        <v>221</v>
      </c>
      <c r="D1330" s="1" t="s">
        <v>198</v>
      </c>
      <c r="E1330" s="115"/>
      <c r="F1330" s="7">
        <f t="shared" si="286"/>
        <v>479.7</v>
      </c>
      <c r="G1330" s="7">
        <f t="shared" si="286"/>
        <v>0</v>
      </c>
      <c r="H1330" s="36">
        <f t="shared" si="280"/>
        <v>479.7</v>
      </c>
      <c r="I1330" s="7">
        <f t="shared" si="286"/>
        <v>0</v>
      </c>
      <c r="J1330" s="36">
        <f t="shared" si="276"/>
        <v>479.7</v>
      </c>
      <c r="K1330" s="7">
        <f t="shared" si="286"/>
        <v>0</v>
      </c>
      <c r="L1330" s="36">
        <f t="shared" si="285"/>
        <v>479.7</v>
      </c>
      <c r="M1330" s="7">
        <f t="shared" si="286"/>
        <v>0</v>
      </c>
      <c r="N1330" s="36">
        <f t="shared" si="279"/>
        <v>479.7</v>
      </c>
      <c r="O1330" s="7">
        <f t="shared" si="286"/>
        <v>0</v>
      </c>
      <c r="P1330" s="36">
        <f t="shared" si="275"/>
        <v>479.7</v>
      </c>
      <c r="Q1330" s="7">
        <f t="shared" si="286"/>
        <v>14.2</v>
      </c>
      <c r="R1330" s="36">
        <f t="shared" si="273"/>
        <v>493.9</v>
      </c>
    </row>
    <row r="1331" spans="1:18" ht="12.75">
      <c r="A1331" s="62" t="str">
        <f ca="1">IF(ISERROR(MATCH(E1331,Код_КВР,0)),"",INDIRECT(ADDRESS(MATCH(E1331,Код_КВР,0)+1,2,,,"КВР")))</f>
        <v>Иные бюджетные ассигнования</v>
      </c>
      <c r="B1331" s="46" t="s">
        <v>152</v>
      </c>
      <c r="C1331" s="8" t="s">
        <v>221</v>
      </c>
      <c r="D1331" s="1" t="s">
        <v>198</v>
      </c>
      <c r="E1331" s="115">
        <v>800</v>
      </c>
      <c r="F1331" s="7">
        <f t="shared" si="286"/>
        <v>479.7</v>
      </c>
      <c r="G1331" s="7">
        <f t="shared" si="286"/>
        <v>0</v>
      </c>
      <c r="H1331" s="36">
        <f t="shared" si="280"/>
        <v>479.7</v>
      </c>
      <c r="I1331" s="7">
        <f t="shared" si="286"/>
        <v>0</v>
      </c>
      <c r="J1331" s="36">
        <f t="shared" si="276"/>
        <v>479.7</v>
      </c>
      <c r="K1331" s="7">
        <f t="shared" si="286"/>
        <v>0</v>
      </c>
      <c r="L1331" s="36">
        <f t="shared" si="285"/>
        <v>479.7</v>
      </c>
      <c r="M1331" s="7">
        <f t="shared" si="286"/>
        <v>0</v>
      </c>
      <c r="N1331" s="36">
        <f t="shared" si="279"/>
        <v>479.7</v>
      </c>
      <c r="O1331" s="7">
        <f t="shared" si="286"/>
        <v>0</v>
      </c>
      <c r="P1331" s="36">
        <f t="shared" si="275"/>
        <v>479.7</v>
      </c>
      <c r="Q1331" s="7">
        <f t="shared" si="286"/>
        <v>14.2</v>
      </c>
      <c r="R1331" s="36">
        <f t="shared" si="273"/>
        <v>493.9</v>
      </c>
    </row>
    <row r="1332" spans="1:18" ht="12.75">
      <c r="A1332" s="62" t="str">
        <f ca="1">IF(ISERROR(MATCH(E1332,Код_КВР,0)),"",INDIRECT(ADDRESS(MATCH(E1332,Код_КВР,0)+1,2,,,"КВР")))</f>
        <v>Уплата налогов, сборов и иных платежей</v>
      </c>
      <c r="B1332" s="46" t="s">
        <v>152</v>
      </c>
      <c r="C1332" s="8" t="s">
        <v>221</v>
      </c>
      <c r="D1332" s="1" t="s">
        <v>198</v>
      </c>
      <c r="E1332" s="115">
        <v>850</v>
      </c>
      <c r="F1332" s="7">
        <f t="shared" si="286"/>
        <v>479.7</v>
      </c>
      <c r="G1332" s="7">
        <f t="shared" si="286"/>
        <v>0</v>
      </c>
      <c r="H1332" s="36">
        <f t="shared" si="280"/>
        <v>479.7</v>
      </c>
      <c r="I1332" s="7">
        <f t="shared" si="286"/>
        <v>0</v>
      </c>
      <c r="J1332" s="36">
        <f t="shared" si="276"/>
        <v>479.7</v>
      </c>
      <c r="K1332" s="7">
        <f t="shared" si="286"/>
        <v>0</v>
      </c>
      <c r="L1332" s="36">
        <f t="shared" si="285"/>
        <v>479.7</v>
      </c>
      <c r="M1332" s="7">
        <f t="shared" si="286"/>
        <v>0</v>
      </c>
      <c r="N1332" s="36">
        <f t="shared" si="279"/>
        <v>479.7</v>
      </c>
      <c r="O1332" s="7">
        <f t="shared" si="286"/>
        <v>0</v>
      </c>
      <c r="P1332" s="36">
        <f t="shared" si="275"/>
        <v>479.7</v>
      </c>
      <c r="Q1332" s="7">
        <f t="shared" si="286"/>
        <v>14.2</v>
      </c>
      <c r="R1332" s="36">
        <f t="shared" si="273"/>
        <v>493.9</v>
      </c>
    </row>
    <row r="1333" spans="1:18" ht="12.75">
      <c r="A1333" s="62" t="str">
        <f ca="1">IF(ISERROR(MATCH(E1333,Код_КВР,0)),"",INDIRECT(ADDRESS(MATCH(E1333,Код_КВР,0)+1,2,,,"КВР")))</f>
        <v>Уплата прочих налогов, сборов и иных платежей</v>
      </c>
      <c r="B1333" s="46" t="s">
        <v>152</v>
      </c>
      <c r="C1333" s="8" t="s">
        <v>221</v>
      </c>
      <c r="D1333" s="1" t="s">
        <v>198</v>
      </c>
      <c r="E1333" s="115">
        <v>852</v>
      </c>
      <c r="F1333" s="7">
        <f>'прил.5'!G150</f>
        <v>479.7</v>
      </c>
      <c r="G1333" s="7">
        <f>'прил.5'!H150</f>
        <v>0</v>
      </c>
      <c r="H1333" s="36">
        <f t="shared" si="280"/>
        <v>479.7</v>
      </c>
      <c r="I1333" s="7">
        <f>'прил.5'!J150</f>
        <v>0</v>
      </c>
      <c r="J1333" s="36">
        <f t="shared" si="276"/>
        <v>479.7</v>
      </c>
      <c r="K1333" s="7">
        <f>'прил.5'!L150</f>
        <v>0</v>
      </c>
      <c r="L1333" s="36">
        <f t="shared" si="285"/>
        <v>479.7</v>
      </c>
      <c r="M1333" s="7">
        <f>'прил.5'!N150</f>
        <v>0</v>
      </c>
      <c r="N1333" s="36">
        <f t="shared" si="279"/>
        <v>479.7</v>
      </c>
      <c r="O1333" s="7">
        <f>'прил.5'!P150</f>
        <v>0</v>
      </c>
      <c r="P1333" s="36">
        <f t="shared" si="275"/>
        <v>479.7</v>
      </c>
      <c r="Q1333" s="7">
        <f>'прил.5'!R150</f>
        <v>14.2</v>
      </c>
      <c r="R1333" s="36">
        <f t="shared" si="273"/>
        <v>493.9</v>
      </c>
    </row>
    <row r="1334" spans="1:18" ht="49.5">
      <c r="A1334" s="62" t="str">
        <f ca="1">IF(ISERROR(MATCH(B1334,Код_КЦСР,0)),"",INDIRECT(ADDRESS(MATCH(B1334,Код_КЦСР,0)+1,2,,,"КЦСР")))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334" s="46" t="s">
        <v>154</v>
      </c>
      <c r="C1334" s="8"/>
      <c r="D1334" s="1"/>
      <c r="E1334" s="115"/>
      <c r="F1334" s="7">
        <f>F1335</f>
        <v>23381.1</v>
      </c>
      <c r="G1334" s="7">
        <f>G1335</f>
        <v>0</v>
      </c>
      <c r="H1334" s="36">
        <f t="shared" si="280"/>
        <v>23381.1</v>
      </c>
      <c r="I1334" s="7">
        <f>I1335</f>
        <v>126.5</v>
      </c>
      <c r="J1334" s="36">
        <f t="shared" si="276"/>
        <v>23507.6</v>
      </c>
      <c r="K1334" s="7">
        <f>K1335</f>
        <v>-61.9</v>
      </c>
      <c r="L1334" s="36">
        <f t="shared" si="285"/>
        <v>23445.699999999997</v>
      </c>
      <c r="M1334" s="7">
        <f>M1335</f>
        <v>34.9</v>
      </c>
      <c r="N1334" s="36">
        <f t="shared" si="279"/>
        <v>23480.6</v>
      </c>
      <c r="O1334" s="7">
        <f>O1335</f>
        <v>0</v>
      </c>
      <c r="P1334" s="36">
        <f t="shared" si="275"/>
        <v>23480.6</v>
      </c>
      <c r="Q1334" s="7">
        <f>Q1335</f>
        <v>1063.4</v>
      </c>
      <c r="R1334" s="36">
        <f t="shared" si="273"/>
        <v>24544</v>
      </c>
    </row>
    <row r="1335" spans="1:18" ht="12.75">
      <c r="A1335" s="62" t="str">
        <f ca="1">IF(ISERROR(MATCH(C1335,Код_Раздел,0)),"",INDIRECT(ADDRESS(MATCH(C1335,Код_Раздел,0)+1,2,,,"Раздел")))</f>
        <v>Средства массовой информации</v>
      </c>
      <c r="B1335" s="46" t="s">
        <v>154</v>
      </c>
      <c r="C1335" s="8" t="s">
        <v>204</v>
      </c>
      <c r="D1335" s="1"/>
      <c r="E1335" s="115"/>
      <c r="F1335" s="7">
        <f>F1336</f>
        <v>23381.1</v>
      </c>
      <c r="G1335" s="7">
        <f>G1336</f>
        <v>0</v>
      </c>
      <c r="H1335" s="36">
        <f t="shared" si="280"/>
        <v>23381.1</v>
      </c>
      <c r="I1335" s="7">
        <f>I1336</f>
        <v>126.5</v>
      </c>
      <c r="J1335" s="36">
        <f t="shared" si="276"/>
        <v>23507.6</v>
      </c>
      <c r="K1335" s="7">
        <f>K1336</f>
        <v>-61.9</v>
      </c>
      <c r="L1335" s="36">
        <f t="shared" si="285"/>
        <v>23445.699999999997</v>
      </c>
      <c r="M1335" s="7">
        <f>M1336</f>
        <v>34.9</v>
      </c>
      <c r="N1335" s="36">
        <f t="shared" si="279"/>
        <v>23480.6</v>
      </c>
      <c r="O1335" s="7">
        <f>O1336</f>
        <v>0</v>
      </c>
      <c r="P1335" s="36">
        <f t="shared" si="275"/>
        <v>23480.6</v>
      </c>
      <c r="Q1335" s="7">
        <f>Q1336</f>
        <v>1063.4</v>
      </c>
      <c r="R1335" s="36">
        <f t="shared" si="273"/>
        <v>24544</v>
      </c>
    </row>
    <row r="1336" spans="1:18" ht="12.75">
      <c r="A1336" s="12" t="s">
        <v>206</v>
      </c>
      <c r="B1336" s="46" t="s">
        <v>154</v>
      </c>
      <c r="C1336" s="8" t="s">
        <v>204</v>
      </c>
      <c r="D1336" s="1" t="s">
        <v>222</v>
      </c>
      <c r="E1336" s="115"/>
      <c r="F1336" s="7">
        <f>F1337+F1339+F1342</f>
        <v>23381.1</v>
      </c>
      <c r="G1336" s="7">
        <f>G1337+G1339+G1342</f>
        <v>0</v>
      </c>
      <c r="H1336" s="36">
        <f t="shared" si="280"/>
        <v>23381.1</v>
      </c>
      <c r="I1336" s="7">
        <f>I1337+I1339+I1342</f>
        <v>126.5</v>
      </c>
      <c r="J1336" s="36">
        <f t="shared" si="276"/>
        <v>23507.6</v>
      </c>
      <c r="K1336" s="7">
        <f>K1337+K1339+K1342</f>
        <v>-61.9</v>
      </c>
      <c r="L1336" s="36">
        <f t="shared" si="285"/>
        <v>23445.699999999997</v>
      </c>
      <c r="M1336" s="7">
        <f>M1337+M1339+M1342</f>
        <v>34.9</v>
      </c>
      <c r="N1336" s="36">
        <f t="shared" si="279"/>
        <v>23480.6</v>
      </c>
      <c r="O1336" s="7">
        <f>O1337+O1339+O1342</f>
        <v>0</v>
      </c>
      <c r="P1336" s="36">
        <f t="shared" si="275"/>
        <v>23480.6</v>
      </c>
      <c r="Q1336" s="7">
        <f>Q1337+Q1339+Q1342</f>
        <v>1063.4</v>
      </c>
      <c r="R1336" s="36">
        <f t="shared" si="273"/>
        <v>24544</v>
      </c>
    </row>
    <row r="1337" spans="1:18" ht="33">
      <c r="A1337" s="62" t="str">
        <f aca="true" t="shared" si="287" ref="A1337:A1345">IF(ISERROR(MATCH(E1337,Код_КВР,0)),"",INDIRECT(ADDRESS(MATCH(E1337,Код_КВР,0)+1,2,,,"КВР")))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7" s="46" t="s">
        <v>154</v>
      </c>
      <c r="C1337" s="8" t="s">
        <v>204</v>
      </c>
      <c r="D1337" s="1" t="s">
        <v>222</v>
      </c>
      <c r="E1337" s="115">
        <v>100</v>
      </c>
      <c r="F1337" s="7">
        <f>F1338</f>
        <v>19202.6</v>
      </c>
      <c r="G1337" s="7">
        <f>G1338</f>
        <v>0</v>
      </c>
      <c r="H1337" s="36">
        <f t="shared" si="280"/>
        <v>19202.6</v>
      </c>
      <c r="I1337" s="7">
        <f>I1338</f>
        <v>0</v>
      </c>
      <c r="J1337" s="36">
        <f t="shared" si="276"/>
        <v>19202.6</v>
      </c>
      <c r="K1337" s="7">
        <f>K1338</f>
        <v>0</v>
      </c>
      <c r="L1337" s="36">
        <f t="shared" si="285"/>
        <v>19202.6</v>
      </c>
      <c r="M1337" s="7">
        <f>M1338</f>
        <v>0</v>
      </c>
      <c r="N1337" s="36">
        <f t="shared" si="279"/>
        <v>19202.6</v>
      </c>
      <c r="O1337" s="7">
        <f>O1338</f>
        <v>0</v>
      </c>
      <c r="P1337" s="36">
        <f t="shared" si="275"/>
        <v>19202.6</v>
      </c>
      <c r="Q1337" s="7">
        <f>Q1338</f>
        <v>0</v>
      </c>
      <c r="R1337" s="36">
        <f t="shared" si="273"/>
        <v>19202.6</v>
      </c>
    </row>
    <row r="1338" spans="1:18" ht="12.75">
      <c r="A1338" s="62" t="str">
        <f ca="1" t="shared" si="287"/>
        <v>Расходы на выплаты персоналу казенных учреждений</v>
      </c>
      <c r="B1338" s="46" t="s">
        <v>154</v>
      </c>
      <c r="C1338" s="8" t="s">
        <v>204</v>
      </c>
      <c r="D1338" s="1" t="s">
        <v>222</v>
      </c>
      <c r="E1338" s="115">
        <v>110</v>
      </c>
      <c r="F1338" s="7">
        <f>'прил.5'!G373</f>
        <v>19202.6</v>
      </c>
      <c r="G1338" s="7">
        <f>'прил.5'!H373</f>
        <v>0</v>
      </c>
      <c r="H1338" s="36">
        <f t="shared" si="280"/>
        <v>19202.6</v>
      </c>
      <c r="I1338" s="7">
        <f>'прил.5'!J373</f>
        <v>0</v>
      </c>
      <c r="J1338" s="36">
        <f t="shared" si="276"/>
        <v>19202.6</v>
      </c>
      <c r="K1338" s="7">
        <f>'прил.5'!L373</f>
        <v>0</v>
      </c>
      <c r="L1338" s="36">
        <f t="shared" si="285"/>
        <v>19202.6</v>
      </c>
      <c r="M1338" s="7">
        <f>'прил.5'!N373</f>
        <v>0</v>
      </c>
      <c r="N1338" s="36">
        <f t="shared" si="279"/>
        <v>19202.6</v>
      </c>
      <c r="O1338" s="7">
        <f>'прил.5'!P373</f>
        <v>0</v>
      </c>
      <c r="P1338" s="36">
        <f t="shared" si="275"/>
        <v>19202.6</v>
      </c>
      <c r="Q1338" s="7">
        <f>'прил.5'!R373</f>
        <v>0</v>
      </c>
      <c r="R1338" s="36">
        <f t="shared" si="273"/>
        <v>19202.6</v>
      </c>
    </row>
    <row r="1339" spans="1:18" ht="12.75">
      <c r="A1339" s="62" t="str">
        <f ca="1" t="shared" si="287"/>
        <v>Закупка товаров, работ и услуг для муниципальных нужд</v>
      </c>
      <c r="B1339" s="46" t="s">
        <v>154</v>
      </c>
      <c r="C1339" s="8" t="s">
        <v>204</v>
      </c>
      <c r="D1339" s="1" t="s">
        <v>222</v>
      </c>
      <c r="E1339" s="115">
        <v>200</v>
      </c>
      <c r="F1339" s="7">
        <f>F1340</f>
        <v>4028.5</v>
      </c>
      <c r="G1339" s="7">
        <f>G1340</f>
        <v>0</v>
      </c>
      <c r="H1339" s="36">
        <f t="shared" si="280"/>
        <v>4028.5</v>
      </c>
      <c r="I1339" s="7">
        <f>I1340</f>
        <v>124.5</v>
      </c>
      <c r="J1339" s="36">
        <f t="shared" si="276"/>
        <v>4153</v>
      </c>
      <c r="K1339" s="7">
        <f>K1340</f>
        <v>-61.9</v>
      </c>
      <c r="L1339" s="36">
        <f t="shared" si="285"/>
        <v>4091.1</v>
      </c>
      <c r="M1339" s="7">
        <f>M1340</f>
        <v>30.099999999999998</v>
      </c>
      <c r="N1339" s="36">
        <f t="shared" si="279"/>
        <v>4121.2</v>
      </c>
      <c r="O1339" s="7">
        <f>O1340</f>
        <v>-18</v>
      </c>
      <c r="P1339" s="36">
        <f t="shared" si="275"/>
        <v>4103.2</v>
      </c>
      <c r="Q1339" s="7">
        <f>Q1340</f>
        <v>1063.4</v>
      </c>
      <c r="R1339" s="36">
        <f t="shared" si="273"/>
        <v>5166.6</v>
      </c>
    </row>
    <row r="1340" spans="1:18" ht="33">
      <c r="A1340" s="62" t="str">
        <f ca="1" t="shared" si="287"/>
        <v>Иные закупки товаров, работ и услуг для обеспечения муниципальных нужд</v>
      </c>
      <c r="B1340" s="46" t="s">
        <v>154</v>
      </c>
      <c r="C1340" s="8" t="s">
        <v>204</v>
      </c>
      <c r="D1340" s="1" t="s">
        <v>222</v>
      </c>
      <c r="E1340" s="115">
        <v>240</v>
      </c>
      <c r="F1340" s="7">
        <f>F1341</f>
        <v>4028.5</v>
      </c>
      <c r="G1340" s="7">
        <f>G1341</f>
        <v>0</v>
      </c>
      <c r="H1340" s="36">
        <f t="shared" si="280"/>
        <v>4028.5</v>
      </c>
      <c r="I1340" s="7">
        <f>I1341</f>
        <v>124.5</v>
      </c>
      <c r="J1340" s="36">
        <f t="shared" si="276"/>
        <v>4153</v>
      </c>
      <c r="K1340" s="7">
        <f>K1341</f>
        <v>-61.9</v>
      </c>
      <c r="L1340" s="36">
        <f t="shared" si="285"/>
        <v>4091.1</v>
      </c>
      <c r="M1340" s="7">
        <f>M1341</f>
        <v>30.099999999999998</v>
      </c>
      <c r="N1340" s="36">
        <f t="shared" si="279"/>
        <v>4121.2</v>
      </c>
      <c r="O1340" s="7">
        <f>O1341</f>
        <v>-18</v>
      </c>
      <c r="P1340" s="36">
        <f t="shared" si="275"/>
        <v>4103.2</v>
      </c>
      <c r="Q1340" s="7">
        <f>Q1341</f>
        <v>1063.4</v>
      </c>
      <c r="R1340" s="36">
        <f t="shared" si="273"/>
        <v>5166.6</v>
      </c>
    </row>
    <row r="1341" spans="1:18" ht="33">
      <c r="A1341" s="62" t="str">
        <f ca="1" t="shared" si="287"/>
        <v xml:space="preserve">Прочая закупка товаров, работ и услуг для обеспечения муниципальных нужд         </v>
      </c>
      <c r="B1341" s="46" t="s">
        <v>154</v>
      </c>
      <c r="C1341" s="8" t="s">
        <v>204</v>
      </c>
      <c r="D1341" s="1" t="s">
        <v>222</v>
      </c>
      <c r="E1341" s="115">
        <v>244</v>
      </c>
      <c r="F1341" s="7">
        <f>'прил.5'!G376</f>
        <v>4028.5</v>
      </c>
      <c r="G1341" s="7">
        <f>'прил.5'!H376</f>
        <v>0</v>
      </c>
      <c r="H1341" s="36">
        <f t="shared" si="280"/>
        <v>4028.5</v>
      </c>
      <c r="I1341" s="7">
        <f>'прил.5'!J376</f>
        <v>124.5</v>
      </c>
      <c r="J1341" s="36">
        <f t="shared" si="276"/>
        <v>4153</v>
      </c>
      <c r="K1341" s="7">
        <f>'прил.5'!L376</f>
        <v>-61.9</v>
      </c>
      <c r="L1341" s="36">
        <f t="shared" si="285"/>
        <v>4091.1</v>
      </c>
      <c r="M1341" s="7">
        <f>'прил.5'!N376</f>
        <v>30.099999999999998</v>
      </c>
      <c r="N1341" s="36">
        <f t="shared" si="279"/>
        <v>4121.2</v>
      </c>
      <c r="O1341" s="7">
        <f>'прил.5'!P376</f>
        <v>-18</v>
      </c>
      <c r="P1341" s="36">
        <f t="shared" si="275"/>
        <v>4103.2</v>
      </c>
      <c r="Q1341" s="7">
        <f>'прил.5'!R376</f>
        <v>1063.4</v>
      </c>
      <c r="R1341" s="36">
        <f t="shared" si="273"/>
        <v>5166.6</v>
      </c>
    </row>
    <row r="1342" spans="1:18" ht="12.75">
      <c r="A1342" s="62" t="str">
        <f ca="1" t="shared" si="287"/>
        <v>Иные бюджетные ассигнования</v>
      </c>
      <c r="B1342" s="46" t="s">
        <v>154</v>
      </c>
      <c r="C1342" s="8" t="s">
        <v>204</v>
      </c>
      <c r="D1342" s="1" t="s">
        <v>222</v>
      </c>
      <c r="E1342" s="115">
        <v>800</v>
      </c>
      <c r="F1342" s="7">
        <f>F1343</f>
        <v>150</v>
      </c>
      <c r="G1342" s="7">
        <f>G1343</f>
        <v>0</v>
      </c>
      <c r="H1342" s="36">
        <f t="shared" si="280"/>
        <v>150</v>
      </c>
      <c r="I1342" s="7">
        <f>I1343</f>
        <v>2</v>
      </c>
      <c r="J1342" s="36">
        <f t="shared" si="276"/>
        <v>152</v>
      </c>
      <c r="K1342" s="7">
        <f>K1343</f>
        <v>0</v>
      </c>
      <c r="L1342" s="36">
        <f t="shared" si="285"/>
        <v>152</v>
      </c>
      <c r="M1342" s="7">
        <f>M1343</f>
        <v>4.8</v>
      </c>
      <c r="N1342" s="36">
        <f t="shared" si="279"/>
        <v>156.8</v>
      </c>
      <c r="O1342" s="7">
        <f>O1343</f>
        <v>18</v>
      </c>
      <c r="P1342" s="36">
        <f t="shared" si="275"/>
        <v>174.8</v>
      </c>
      <c r="Q1342" s="7">
        <f>Q1343</f>
        <v>0</v>
      </c>
      <c r="R1342" s="36">
        <f t="shared" si="273"/>
        <v>174.8</v>
      </c>
    </row>
    <row r="1343" spans="1:18" ht="12.75">
      <c r="A1343" s="62" t="str">
        <f ca="1" t="shared" si="287"/>
        <v>Уплата налогов, сборов и иных платежей</v>
      </c>
      <c r="B1343" s="46" t="s">
        <v>154</v>
      </c>
      <c r="C1343" s="8" t="s">
        <v>204</v>
      </c>
      <c r="D1343" s="1" t="s">
        <v>222</v>
      </c>
      <c r="E1343" s="115">
        <v>850</v>
      </c>
      <c r="F1343" s="7">
        <f>SUM(F1344:F1345)</f>
        <v>150</v>
      </c>
      <c r="G1343" s="7">
        <f>SUM(G1344:G1345)</f>
        <v>0</v>
      </c>
      <c r="H1343" s="36">
        <f t="shared" si="280"/>
        <v>150</v>
      </c>
      <c r="I1343" s="7">
        <f>SUM(I1344:I1345)</f>
        <v>2</v>
      </c>
      <c r="J1343" s="36">
        <f t="shared" si="276"/>
        <v>152</v>
      </c>
      <c r="K1343" s="7">
        <f>SUM(K1344:K1345)</f>
        <v>0</v>
      </c>
      <c r="L1343" s="36">
        <f t="shared" si="285"/>
        <v>152</v>
      </c>
      <c r="M1343" s="7">
        <f>SUM(M1344:M1345)</f>
        <v>4.8</v>
      </c>
      <c r="N1343" s="36">
        <f t="shared" si="279"/>
        <v>156.8</v>
      </c>
      <c r="O1343" s="7">
        <f>SUM(O1344:O1345)</f>
        <v>18</v>
      </c>
      <c r="P1343" s="36">
        <f t="shared" si="275"/>
        <v>174.8</v>
      </c>
      <c r="Q1343" s="7">
        <f>SUM(Q1344:Q1345)</f>
        <v>0</v>
      </c>
      <c r="R1343" s="36">
        <f t="shared" si="273"/>
        <v>174.8</v>
      </c>
    </row>
    <row r="1344" spans="1:18" ht="12.75">
      <c r="A1344" s="62" t="str">
        <f ca="1" t="shared" si="287"/>
        <v>Уплата налога на имущество организаций и земельного налога</v>
      </c>
      <c r="B1344" s="46" t="s">
        <v>154</v>
      </c>
      <c r="C1344" s="8" t="s">
        <v>204</v>
      </c>
      <c r="D1344" s="1" t="s">
        <v>222</v>
      </c>
      <c r="E1344" s="115">
        <v>851</v>
      </c>
      <c r="F1344" s="7">
        <f>'прил.5'!G379</f>
        <v>142</v>
      </c>
      <c r="G1344" s="7">
        <f>'прил.5'!H379</f>
        <v>0</v>
      </c>
      <c r="H1344" s="36">
        <f t="shared" si="280"/>
        <v>142</v>
      </c>
      <c r="I1344" s="7">
        <f>'прил.5'!J379</f>
        <v>0</v>
      </c>
      <c r="J1344" s="36">
        <f t="shared" si="276"/>
        <v>142</v>
      </c>
      <c r="K1344" s="7">
        <f>'прил.5'!L379</f>
        <v>0</v>
      </c>
      <c r="L1344" s="36">
        <f t="shared" si="285"/>
        <v>142</v>
      </c>
      <c r="M1344" s="7">
        <f>'прил.5'!N379</f>
        <v>0</v>
      </c>
      <c r="N1344" s="36">
        <f t="shared" si="279"/>
        <v>142</v>
      </c>
      <c r="O1344" s="7">
        <f>'прил.5'!P379</f>
        <v>0</v>
      </c>
      <c r="P1344" s="36">
        <f t="shared" si="275"/>
        <v>142</v>
      </c>
      <c r="Q1344" s="7">
        <f>'прил.5'!R379</f>
        <v>0</v>
      </c>
      <c r="R1344" s="36">
        <f t="shared" si="273"/>
        <v>142</v>
      </c>
    </row>
    <row r="1345" spans="1:18" ht="12.75">
      <c r="A1345" s="62" t="str">
        <f ca="1" t="shared" si="287"/>
        <v>Уплата прочих налогов, сборов и иных платежей</v>
      </c>
      <c r="B1345" s="46" t="s">
        <v>154</v>
      </c>
      <c r="C1345" s="8" t="s">
        <v>204</v>
      </c>
      <c r="D1345" s="1" t="s">
        <v>222</v>
      </c>
      <c r="E1345" s="115">
        <v>852</v>
      </c>
      <c r="F1345" s="7">
        <f>'прил.5'!G380</f>
        <v>8</v>
      </c>
      <c r="G1345" s="7">
        <f>'прил.5'!H380</f>
        <v>0</v>
      </c>
      <c r="H1345" s="36">
        <f t="shared" si="280"/>
        <v>8</v>
      </c>
      <c r="I1345" s="7">
        <f>'прил.5'!J380</f>
        <v>2</v>
      </c>
      <c r="J1345" s="36">
        <f t="shared" si="276"/>
        <v>10</v>
      </c>
      <c r="K1345" s="7">
        <f>'прил.5'!L380</f>
        <v>0</v>
      </c>
      <c r="L1345" s="36">
        <f t="shared" si="285"/>
        <v>10</v>
      </c>
      <c r="M1345" s="7">
        <f>'прил.5'!N380</f>
        <v>4.8</v>
      </c>
      <c r="N1345" s="36">
        <f t="shared" si="279"/>
        <v>14.8</v>
      </c>
      <c r="O1345" s="7">
        <f>'прил.5'!P380</f>
        <v>18</v>
      </c>
      <c r="P1345" s="36">
        <f t="shared" si="275"/>
        <v>32.8</v>
      </c>
      <c r="Q1345" s="7">
        <f>'прил.5'!R380</f>
        <v>0</v>
      </c>
      <c r="R1345" s="36">
        <f t="shared" si="273"/>
        <v>32.8</v>
      </c>
    </row>
    <row r="1346" spans="1:18" ht="68.25" customHeight="1">
      <c r="A1346" s="62" t="str">
        <f ca="1">IF(ISERROR(MATCH(B1346,Код_КЦСР,0)),"",INDIRECT(ADDRESS(MATCH(B1346,Код_КЦСР,0)+1,2,,,"КЦСР")))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346" s="46" t="s">
        <v>156</v>
      </c>
      <c r="C1346" s="8"/>
      <c r="D1346" s="1"/>
      <c r="E1346" s="115"/>
      <c r="F1346" s="7">
        <f aca="true" t="shared" si="288" ref="F1346:Q1350">F1347</f>
        <v>20904.8</v>
      </c>
      <c r="G1346" s="7">
        <f t="shared" si="288"/>
        <v>0</v>
      </c>
      <c r="H1346" s="36">
        <f t="shared" si="280"/>
        <v>20904.8</v>
      </c>
      <c r="I1346" s="7">
        <f t="shared" si="288"/>
        <v>0</v>
      </c>
      <c r="J1346" s="36">
        <f t="shared" si="276"/>
        <v>20904.8</v>
      </c>
      <c r="K1346" s="7">
        <f t="shared" si="288"/>
        <v>0</v>
      </c>
      <c r="L1346" s="36">
        <f t="shared" si="285"/>
        <v>20904.8</v>
      </c>
      <c r="M1346" s="7">
        <f t="shared" si="288"/>
        <v>0</v>
      </c>
      <c r="N1346" s="36">
        <f t="shared" si="279"/>
        <v>20904.8</v>
      </c>
      <c r="O1346" s="7">
        <f t="shared" si="288"/>
        <v>0</v>
      </c>
      <c r="P1346" s="36">
        <f t="shared" si="275"/>
        <v>20904.8</v>
      </c>
      <c r="Q1346" s="7">
        <f t="shared" si="288"/>
        <v>3045.4</v>
      </c>
      <c r="R1346" s="36">
        <f t="shared" si="273"/>
        <v>23950.2</v>
      </c>
    </row>
    <row r="1347" spans="1:18" ht="12.75">
      <c r="A1347" s="62" t="str">
        <f ca="1">IF(ISERROR(MATCH(C1347,Код_Раздел,0)),"",INDIRECT(ADDRESS(MATCH(C1347,Код_Раздел,0)+1,2,,,"Раздел")))</f>
        <v>Средства массовой информации</v>
      </c>
      <c r="B1347" s="46" t="s">
        <v>156</v>
      </c>
      <c r="C1347" s="8" t="s">
        <v>204</v>
      </c>
      <c r="D1347" s="1"/>
      <c r="E1347" s="115"/>
      <c r="F1347" s="7">
        <f t="shared" si="288"/>
        <v>20904.8</v>
      </c>
      <c r="G1347" s="7">
        <f t="shared" si="288"/>
        <v>0</v>
      </c>
      <c r="H1347" s="36">
        <f t="shared" si="280"/>
        <v>20904.8</v>
      </c>
      <c r="I1347" s="7">
        <f t="shared" si="288"/>
        <v>0</v>
      </c>
      <c r="J1347" s="36">
        <f t="shared" si="276"/>
        <v>20904.8</v>
      </c>
      <c r="K1347" s="7">
        <f t="shared" si="288"/>
        <v>0</v>
      </c>
      <c r="L1347" s="36">
        <f t="shared" si="285"/>
        <v>20904.8</v>
      </c>
      <c r="M1347" s="7">
        <f t="shared" si="288"/>
        <v>0</v>
      </c>
      <c r="N1347" s="36">
        <f t="shared" si="279"/>
        <v>20904.8</v>
      </c>
      <c r="O1347" s="7">
        <f t="shared" si="288"/>
        <v>0</v>
      </c>
      <c r="P1347" s="36">
        <f t="shared" si="275"/>
        <v>20904.8</v>
      </c>
      <c r="Q1347" s="7">
        <f t="shared" si="288"/>
        <v>3045.4</v>
      </c>
      <c r="R1347" s="36">
        <f t="shared" si="273"/>
        <v>23950.2</v>
      </c>
    </row>
    <row r="1348" spans="1:18" ht="12.75">
      <c r="A1348" s="12" t="s">
        <v>206</v>
      </c>
      <c r="B1348" s="46" t="s">
        <v>156</v>
      </c>
      <c r="C1348" s="8" t="s">
        <v>204</v>
      </c>
      <c r="D1348" s="1" t="s">
        <v>222</v>
      </c>
      <c r="E1348" s="115"/>
      <c r="F1348" s="7">
        <f t="shared" si="288"/>
        <v>20904.8</v>
      </c>
      <c r="G1348" s="7">
        <f t="shared" si="288"/>
        <v>0</v>
      </c>
      <c r="H1348" s="36">
        <f t="shared" si="280"/>
        <v>20904.8</v>
      </c>
      <c r="I1348" s="7">
        <f t="shared" si="288"/>
        <v>0</v>
      </c>
      <c r="J1348" s="36">
        <f t="shared" si="276"/>
        <v>20904.8</v>
      </c>
      <c r="K1348" s="7">
        <f t="shared" si="288"/>
        <v>0</v>
      </c>
      <c r="L1348" s="36">
        <f t="shared" si="285"/>
        <v>20904.8</v>
      </c>
      <c r="M1348" s="7">
        <f t="shared" si="288"/>
        <v>0</v>
      </c>
      <c r="N1348" s="36">
        <f t="shared" si="279"/>
        <v>20904.8</v>
      </c>
      <c r="O1348" s="7">
        <f t="shared" si="288"/>
        <v>0</v>
      </c>
      <c r="P1348" s="36">
        <f t="shared" si="275"/>
        <v>20904.8</v>
      </c>
      <c r="Q1348" s="7">
        <f t="shared" si="288"/>
        <v>3045.4</v>
      </c>
      <c r="R1348" s="36">
        <f t="shared" si="273"/>
        <v>23950.2</v>
      </c>
    </row>
    <row r="1349" spans="1:18" ht="12.75">
      <c r="A1349" s="62" t="str">
        <f ca="1">IF(ISERROR(MATCH(E1349,Код_КВР,0)),"",INDIRECT(ADDRESS(MATCH(E1349,Код_КВР,0)+1,2,,,"КВР")))</f>
        <v>Закупка товаров, работ и услуг для муниципальных нужд</v>
      </c>
      <c r="B1349" s="46" t="s">
        <v>156</v>
      </c>
      <c r="C1349" s="8" t="s">
        <v>204</v>
      </c>
      <c r="D1349" s="1" t="s">
        <v>222</v>
      </c>
      <c r="E1349" s="115">
        <v>200</v>
      </c>
      <c r="F1349" s="7">
        <f t="shared" si="288"/>
        <v>20904.8</v>
      </c>
      <c r="G1349" s="7">
        <f t="shared" si="288"/>
        <v>0</v>
      </c>
      <c r="H1349" s="36">
        <f t="shared" si="280"/>
        <v>20904.8</v>
      </c>
      <c r="I1349" s="7">
        <f t="shared" si="288"/>
        <v>0</v>
      </c>
      <c r="J1349" s="36">
        <f t="shared" si="276"/>
        <v>20904.8</v>
      </c>
      <c r="K1349" s="7">
        <f t="shared" si="288"/>
        <v>0</v>
      </c>
      <c r="L1349" s="36">
        <f t="shared" si="285"/>
        <v>20904.8</v>
      </c>
      <c r="M1349" s="7">
        <f t="shared" si="288"/>
        <v>0</v>
      </c>
      <c r="N1349" s="36">
        <f t="shared" si="279"/>
        <v>20904.8</v>
      </c>
      <c r="O1349" s="7">
        <f t="shared" si="288"/>
        <v>0</v>
      </c>
      <c r="P1349" s="36">
        <f t="shared" si="275"/>
        <v>20904.8</v>
      </c>
      <c r="Q1349" s="7">
        <f t="shared" si="288"/>
        <v>3045.4</v>
      </c>
      <c r="R1349" s="36">
        <f t="shared" si="273"/>
        <v>23950.2</v>
      </c>
    </row>
    <row r="1350" spans="1:18" ht="33">
      <c r="A1350" s="62" t="str">
        <f ca="1">IF(ISERROR(MATCH(E1350,Код_КВР,0)),"",INDIRECT(ADDRESS(MATCH(E1350,Код_КВР,0)+1,2,,,"КВР")))</f>
        <v>Иные закупки товаров, работ и услуг для обеспечения муниципальных нужд</v>
      </c>
      <c r="B1350" s="46" t="s">
        <v>156</v>
      </c>
      <c r="C1350" s="8" t="s">
        <v>204</v>
      </c>
      <c r="D1350" s="1" t="s">
        <v>222</v>
      </c>
      <c r="E1350" s="115">
        <v>240</v>
      </c>
      <c r="F1350" s="7">
        <f t="shared" si="288"/>
        <v>20904.8</v>
      </c>
      <c r="G1350" s="7">
        <f t="shared" si="288"/>
        <v>0</v>
      </c>
      <c r="H1350" s="36">
        <f t="shared" si="280"/>
        <v>20904.8</v>
      </c>
      <c r="I1350" s="7">
        <f t="shared" si="288"/>
        <v>0</v>
      </c>
      <c r="J1350" s="36">
        <f t="shared" si="276"/>
        <v>20904.8</v>
      </c>
      <c r="K1350" s="7">
        <f t="shared" si="288"/>
        <v>0</v>
      </c>
      <c r="L1350" s="36">
        <f t="shared" si="285"/>
        <v>20904.8</v>
      </c>
      <c r="M1350" s="7">
        <f t="shared" si="288"/>
        <v>0</v>
      </c>
      <c r="N1350" s="36">
        <f t="shared" si="279"/>
        <v>20904.8</v>
      </c>
      <c r="O1350" s="7">
        <f t="shared" si="288"/>
        <v>0</v>
      </c>
      <c r="P1350" s="36">
        <f t="shared" si="275"/>
        <v>20904.8</v>
      </c>
      <c r="Q1350" s="7">
        <f t="shared" si="288"/>
        <v>3045.4</v>
      </c>
      <c r="R1350" s="36">
        <f t="shared" si="273"/>
        <v>23950.2</v>
      </c>
    </row>
    <row r="1351" spans="1:18" ht="33">
      <c r="A1351" s="62" t="str">
        <f ca="1">IF(ISERROR(MATCH(E1351,Код_КВР,0)),"",INDIRECT(ADDRESS(MATCH(E1351,Код_КВР,0)+1,2,,,"КВР")))</f>
        <v xml:space="preserve">Прочая закупка товаров, работ и услуг для обеспечения муниципальных нужд         </v>
      </c>
      <c r="B1351" s="46" t="s">
        <v>156</v>
      </c>
      <c r="C1351" s="8" t="s">
        <v>204</v>
      </c>
      <c r="D1351" s="1" t="s">
        <v>222</v>
      </c>
      <c r="E1351" s="115">
        <v>244</v>
      </c>
      <c r="F1351" s="7">
        <f>'прил.5'!G384</f>
        <v>20904.8</v>
      </c>
      <c r="G1351" s="7">
        <f>'прил.5'!H384</f>
        <v>0</v>
      </c>
      <c r="H1351" s="36">
        <f t="shared" si="280"/>
        <v>20904.8</v>
      </c>
      <c r="I1351" s="7">
        <f>'прил.5'!J384</f>
        <v>0</v>
      </c>
      <c r="J1351" s="36">
        <f t="shared" si="276"/>
        <v>20904.8</v>
      </c>
      <c r="K1351" s="7">
        <f>'прил.5'!L384</f>
        <v>0</v>
      </c>
      <c r="L1351" s="36">
        <f t="shared" si="285"/>
        <v>20904.8</v>
      </c>
      <c r="M1351" s="7">
        <f>'прил.5'!N384</f>
        <v>0</v>
      </c>
      <c r="N1351" s="36">
        <f t="shared" si="279"/>
        <v>20904.8</v>
      </c>
      <c r="O1351" s="7">
        <f>'прил.5'!P384</f>
        <v>0</v>
      </c>
      <c r="P1351" s="36">
        <f t="shared" si="275"/>
        <v>20904.8</v>
      </c>
      <c r="Q1351" s="7">
        <f>'прил.5'!R384</f>
        <v>3045.4</v>
      </c>
      <c r="R1351" s="36">
        <f aca="true" t="shared" si="289" ref="R1351:R1414">P1351+Q1351</f>
        <v>23950.2</v>
      </c>
    </row>
    <row r="1352" spans="1:18" ht="49.5">
      <c r="A1352" s="62" t="str">
        <f ca="1">IF(ISERROR(MATCH(B1352,Код_КЦСР,0)),"",INDIRECT(ADDRESS(MATCH(B1352,Код_КЦСР,0)+1,2,,,"КЦСР")))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352" s="46" t="s">
        <v>158</v>
      </c>
      <c r="C1352" s="8"/>
      <c r="D1352" s="1"/>
      <c r="E1352" s="115"/>
      <c r="F1352" s="7">
        <f>F1353+F1386</f>
        <v>10864.400000000001</v>
      </c>
      <c r="G1352" s="7">
        <f>G1353+G1386</f>
        <v>0</v>
      </c>
      <c r="H1352" s="36">
        <f t="shared" si="280"/>
        <v>10864.400000000001</v>
      </c>
      <c r="I1352" s="7">
        <f>I1353+I1386</f>
        <v>0</v>
      </c>
      <c r="J1352" s="36">
        <f t="shared" si="276"/>
        <v>10864.400000000001</v>
      </c>
      <c r="K1352" s="7">
        <f>K1353+K1386</f>
        <v>-17.5</v>
      </c>
      <c r="L1352" s="36">
        <f t="shared" si="285"/>
        <v>10846.900000000001</v>
      </c>
      <c r="M1352" s="7">
        <f>M1353+M1386</f>
        <v>0</v>
      </c>
      <c r="N1352" s="36">
        <f t="shared" si="279"/>
        <v>10846.900000000001</v>
      </c>
      <c r="O1352" s="7">
        <f>O1353+O1386</f>
        <v>0</v>
      </c>
      <c r="P1352" s="36">
        <f t="shared" si="275"/>
        <v>10846.900000000001</v>
      </c>
      <c r="Q1352" s="7">
        <f>Q1353+Q1386</f>
        <v>0</v>
      </c>
      <c r="R1352" s="36">
        <f t="shared" si="289"/>
        <v>10846.900000000001</v>
      </c>
    </row>
    <row r="1353" spans="1:18" ht="33">
      <c r="A1353" s="62" t="str">
        <f ca="1">IF(ISERROR(MATCH(B1353,Код_КЦСР,0)),"",INDIRECT(ADDRESS(MATCH(B1353,Код_КЦСР,0)+1,2,,,"КЦСР")))</f>
        <v>Профилактика преступлений и иных правонарушений в городе Череповце</v>
      </c>
      <c r="B1353" s="46" t="s">
        <v>160</v>
      </c>
      <c r="C1353" s="8"/>
      <c r="D1353" s="1"/>
      <c r="E1353" s="115"/>
      <c r="F1353" s="7">
        <f>F1354+F1360+F1380</f>
        <v>10834.400000000001</v>
      </c>
      <c r="G1353" s="7">
        <f>G1354+G1360+G1380</f>
        <v>0</v>
      </c>
      <c r="H1353" s="36">
        <f t="shared" si="280"/>
        <v>10834.400000000001</v>
      </c>
      <c r="I1353" s="7">
        <f>I1354+I1360+I1380</f>
        <v>0</v>
      </c>
      <c r="J1353" s="36">
        <f t="shared" si="276"/>
        <v>10834.400000000001</v>
      </c>
      <c r="K1353" s="7">
        <f>K1354+K1360+K1380</f>
        <v>-17.5</v>
      </c>
      <c r="L1353" s="36">
        <f t="shared" si="285"/>
        <v>10816.900000000001</v>
      </c>
      <c r="M1353" s="7">
        <f>M1354+M1360+M1380</f>
        <v>0</v>
      </c>
      <c r="N1353" s="36">
        <f t="shared" si="279"/>
        <v>10816.900000000001</v>
      </c>
      <c r="O1353" s="7">
        <f>O1354+O1360+O1380</f>
        <v>0</v>
      </c>
      <c r="P1353" s="36">
        <f t="shared" si="275"/>
        <v>10816.900000000001</v>
      </c>
      <c r="Q1353" s="7">
        <f>Q1354+Q1360+Q1380</f>
        <v>0</v>
      </c>
      <c r="R1353" s="36">
        <f t="shared" si="289"/>
        <v>10816.900000000001</v>
      </c>
    </row>
    <row r="1354" spans="1:18" ht="49.5">
      <c r="A1354" s="62" t="str">
        <f ca="1">IF(ISERROR(MATCH(B1354,Код_КЦСР,0)),"",INDIRECT(ADDRESS(MATCH(B1354,Код_КЦСР,0)+1,2,,,"КЦСР")))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354" s="115" t="s">
        <v>394</v>
      </c>
      <c r="C1354" s="8"/>
      <c r="D1354" s="1"/>
      <c r="E1354" s="115"/>
      <c r="F1354" s="7">
        <f aca="true" t="shared" si="290" ref="F1354:Q1358">F1355</f>
        <v>65</v>
      </c>
      <c r="G1354" s="7">
        <f t="shared" si="290"/>
        <v>0</v>
      </c>
      <c r="H1354" s="36">
        <f t="shared" si="280"/>
        <v>65</v>
      </c>
      <c r="I1354" s="7">
        <f t="shared" si="290"/>
        <v>0</v>
      </c>
      <c r="J1354" s="36">
        <f t="shared" si="276"/>
        <v>65</v>
      </c>
      <c r="K1354" s="7">
        <f t="shared" si="290"/>
        <v>0</v>
      </c>
      <c r="L1354" s="36">
        <f t="shared" si="285"/>
        <v>65</v>
      </c>
      <c r="M1354" s="7">
        <f t="shared" si="290"/>
        <v>0</v>
      </c>
      <c r="N1354" s="36">
        <f t="shared" si="279"/>
        <v>65</v>
      </c>
      <c r="O1354" s="7">
        <f t="shared" si="290"/>
        <v>0</v>
      </c>
      <c r="P1354" s="36">
        <f t="shared" si="275"/>
        <v>65</v>
      </c>
      <c r="Q1354" s="7">
        <f t="shared" si="290"/>
        <v>0</v>
      </c>
      <c r="R1354" s="36">
        <f t="shared" si="289"/>
        <v>65</v>
      </c>
    </row>
    <row r="1355" spans="1:18" ht="12.75">
      <c r="A1355" s="62" t="str">
        <f ca="1">IF(ISERROR(MATCH(C1355,Код_Раздел,0)),"",INDIRECT(ADDRESS(MATCH(C1355,Код_Раздел,0)+1,2,,,"Раздел")))</f>
        <v>Национальная экономика</v>
      </c>
      <c r="B1355" s="115" t="s">
        <v>394</v>
      </c>
      <c r="C1355" s="8" t="s">
        <v>224</v>
      </c>
      <c r="D1355" s="1"/>
      <c r="E1355" s="115"/>
      <c r="F1355" s="7">
        <f t="shared" si="290"/>
        <v>65</v>
      </c>
      <c r="G1355" s="7">
        <f t="shared" si="290"/>
        <v>0</v>
      </c>
      <c r="H1355" s="36">
        <f t="shared" si="280"/>
        <v>65</v>
      </c>
      <c r="I1355" s="7">
        <f t="shared" si="290"/>
        <v>0</v>
      </c>
      <c r="J1355" s="36">
        <f t="shared" si="276"/>
        <v>65</v>
      </c>
      <c r="K1355" s="7">
        <f t="shared" si="290"/>
        <v>0</v>
      </c>
      <c r="L1355" s="36">
        <f t="shared" si="285"/>
        <v>65</v>
      </c>
      <c r="M1355" s="7">
        <f t="shared" si="290"/>
        <v>0</v>
      </c>
      <c r="N1355" s="36">
        <f t="shared" si="279"/>
        <v>65</v>
      </c>
      <c r="O1355" s="7">
        <f t="shared" si="290"/>
        <v>0</v>
      </c>
      <c r="P1355" s="36">
        <f t="shared" si="275"/>
        <v>65</v>
      </c>
      <c r="Q1355" s="7">
        <f t="shared" si="290"/>
        <v>0</v>
      </c>
      <c r="R1355" s="36">
        <f t="shared" si="289"/>
        <v>65</v>
      </c>
    </row>
    <row r="1356" spans="1:18" ht="12.75">
      <c r="A1356" s="12" t="s">
        <v>238</v>
      </c>
      <c r="B1356" s="115" t="s">
        <v>394</v>
      </c>
      <c r="C1356" s="8" t="s">
        <v>224</v>
      </c>
      <c r="D1356" s="1" t="s">
        <v>196</v>
      </c>
      <c r="E1356" s="115"/>
      <c r="F1356" s="7">
        <f t="shared" si="290"/>
        <v>65</v>
      </c>
      <c r="G1356" s="7">
        <f t="shared" si="290"/>
        <v>0</v>
      </c>
      <c r="H1356" s="36">
        <f t="shared" si="280"/>
        <v>65</v>
      </c>
      <c r="I1356" s="7">
        <f t="shared" si="290"/>
        <v>0</v>
      </c>
      <c r="J1356" s="36">
        <f t="shared" si="276"/>
        <v>65</v>
      </c>
      <c r="K1356" s="7">
        <f t="shared" si="290"/>
        <v>0</v>
      </c>
      <c r="L1356" s="36">
        <f t="shared" si="285"/>
        <v>65</v>
      </c>
      <c r="M1356" s="7">
        <f t="shared" si="290"/>
        <v>0</v>
      </c>
      <c r="N1356" s="36">
        <f t="shared" si="279"/>
        <v>65</v>
      </c>
      <c r="O1356" s="7">
        <f t="shared" si="290"/>
        <v>0</v>
      </c>
      <c r="P1356" s="36">
        <f t="shared" si="275"/>
        <v>65</v>
      </c>
      <c r="Q1356" s="7">
        <f t="shared" si="290"/>
        <v>0</v>
      </c>
      <c r="R1356" s="36">
        <f t="shared" si="289"/>
        <v>65</v>
      </c>
    </row>
    <row r="1357" spans="1:18" ht="33">
      <c r="A1357" s="62" t="str">
        <f ca="1">IF(ISERROR(MATCH(E1357,Код_КВР,0)),"",INDIRECT(ADDRESS(MATCH(E1357,Код_КВР,0)+1,2,,,"КВР")))</f>
        <v>Предоставление субсидий бюджетным, автономным учреждениям и иным некоммерческим организациям</v>
      </c>
      <c r="B1357" s="115" t="s">
        <v>394</v>
      </c>
      <c r="C1357" s="8" t="s">
        <v>224</v>
      </c>
      <c r="D1357" s="1" t="s">
        <v>196</v>
      </c>
      <c r="E1357" s="115">
        <v>600</v>
      </c>
      <c r="F1357" s="7">
        <f t="shared" si="290"/>
        <v>65</v>
      </c>
      <c r="G1357" s="7">
        <f t="shared" si="290"/>
        <v>0</v>
      </c>
      <c r="H1357" s="36">
        <f t="shared" si="280"/>
        <v>65</v>
      </c>
      <c r="I1357" s="7">
        <f t="shared" si="290"/>
        <v>0</v>
      </c>
      <c r="J1357" s="36">
        <f t="shared" si="276"/>
        <v>65</v>
      </c>
      <c r="K1357" s="7">
        <f t="shared" si="290"/>
        <v>0</v>
      </c>
      <c r="L1357" s="36">
        <f t="shared" si="285"/>
        <v>65</v>
      </c>
      <c r="M1357" s="7">
        <f t="shared" si="290"/>
        <v>0</v>
      </c>
      <c r="N1357" s="36">
        <f t="shared" si="279"/>
        <v>65</v>
      </c>
      <c r="O1357" s="7">
        <f t="shared" si="290"/>
        <v>0</v>
      </c>
      <c r="P1357" s="36">
        <f t="shared" si="275"/>
        <v>65</v>
      </c>
      <c r="Q1357" s="7">
        <f t="shared" si="290"/>
        <v>0</v>
      </c>
      <c r="R1357" s="36">
        <f t="shared" si="289"/>
        <v>65</v>
      </c>
    </row>
    <row r="1358" spans="1:18" ht="12.75">
      <c r="A1358" s="62" t="str">
        <f ca="1">IF(ISERROR(MATCH(E1358,Код_КВР,0)),"",INDIRECT(ADDRESS(MATCH(E1358,Код_КВР,0)+1,2,,,"КВР")))</f>
        <v>Субсидии бюджетным учреждениям</v>
      </c>
      <c r="B1358" s="115" t="s">
        <v>394</v>
      </c>
      <c r="C1358" s="8" t="s">
        <v>224</v>
      </c>
      <c r="D1358" s="1" t="s">
        <v>196</v>
      </c>
      <c r="E1358" s="115">
        <v>610</v>
      </c>
      <c r="F1358" s="7">
        <f t="shared" si="290"/>
        <v>65</v>
      </c>
      <c r="G1358" s="7">
        <f t="shared" si="290"/>
        <v>0</v>
      </c>
      <c r="H1358" s="36">
        <f t="shared" si="280"/>
        <v>65</v>
      </c>
      <c r="I1358" s="7">
        <f t="shared" si="290"/>
        <v>0</v>
      </c>
      <c r="J1358" s="36">
        <f t="shared" si="276"/>
        <v>65</v>
      </c>
      <c r="K1358" s="7">
        <f t="shared" si="290"/>
        <v>0</v>
      </c>
      <c r="L1358" s="36">
        <f t="shared" si="285"/>
        <v>65</v>
      </c>
      <c r="M1358" s="7">
        <f t="shared" si="290"/>
        <v>0</v>
      </c>
      <c r="N1358" s="36">
        <f t="shared" si="279"/>
        <v>65</v>
      </c>
      <c r="O1358" s="7">
        <f t="shared" si="290"/>
        <v>0</v>
      </c>
      <c r="P1358" s="36">
        <f t="shared" si="275"/>
        <v>65</v>
      </c>
      <c r="Q1358" s="7">
        <f t="shared" si="290"/>
        <v>0</v>
      </c>
      <c r="R1358" s="36">
        <f t="shared" si="289"/>
        <v>65</v>
      </c>
    </row>
    <row r="1359" spans="1:18" ht="12.75">
      <c r="A1359" s="62" t="str">
        <f ca="1">IF(ISERROR(MATCH(E1359,Код_КВР,0)),"",INDIRECT(ADDRESS(MATCH(E1359,Код_КВР,0)+1,2,,,"КВР")))</f>
        <v>Субсидии бюджетным учреждениям на иные цели</v>
      </c>
      <c r="B1359" s="115" t="s">
        <v>394</v>
      </c>
      <c r="C1359" s="8" t="s">
        <v>224</v>
      </c>
      <c r="D1359" s="1" t="s">
        <v>196</v>
      </c>
      <c r="E1359" s="115">
        <v>612</v>
      </c>
      <c r="F1359" s="7">
        <f>'прил.5'!G265</f>
        <v>65</v>
      </c>
      <c r="G1359" s="7">
        <f>'прил.5'!H265</f>
        <v>0</v>
      </c>
      <c r="H1359" s="36">
        <f t="shared" si="280"/>
        <v>65</v>
      </c>
      <c r="I1359" s="7">
        <f>'прил.5'!J265</f>
        <v>0</v>
      </c>
      <c r="J1359" s="36">
        <f aca="true" t="shared" si="291" ref="J1359:J1423">H1359+I1359</f>
        <v>65</v>
      </c>
      <c r="K1359" s="7">
        <f>'прил.5'!L265</f>
        <v>0</v>
      </c>
      <c r="L1359" s="36">
        <f t="shared" si="285"/>
        <v>65</v>
      </c>
      <c r="M1359" s="7">
        <f>'прил.5'!N265</f>
        <v>0</v>
      </c>
      <c r="N1359" s="36">
        <f t="shared" si="279"/>
        <v>65</v>
      </c>
      <c r="O1359" s="7">
        <f>'прил.5'!P265</f>
        <v>0</v>
      </c>
      <c r="P1359" s="36">
        <f aca="true" t="shared" si="292" ref="P1359:P1422">N1359+O1359</f>
        <v>65</v>
      </c>
      <c r="Q1359" s="7">
        <f>'прил.5'!R265</f>
        <v>0</v>
      </c>
      <c r="R1359" s="36">
        <f t="shared" si="289"/>
        <v>65</v>
      </c>
    </row>
    <row r="1360" spans="1:18" ht="12.75">
      <c r="A1360" s="62" t="str">
        <f ca="1">IF(ISERROR(MATCH(B1360,Код_КЦСР,0)),"",INDIRECT(ADDRESS(MATCH(B1360,Код_КЦСР,0)+1,2,,,"КЦСР")))</f>
        <v>Привлечение общественности к охране общественного порядка</v>
      </c>
      <c r="B1360" s="46" t="s">
        <v>162</v>
      </c>
      <c r="C1360" s="8"/>
      <c r="D1360" s="1"/>
      <c r="E1360" s="115"/>
      <c r="F1360" s="7">
        <f>F1361+F1366+F1376</f>
        <v>9534.2</v>
      </c>
      <c r="G1360" s="7">
        <f>G1361+G1366+G1376</f>
        <v>0</v>
      </c>
      <c r="H1360" s="36">
        <f t="shared" si="280"/>
        <v>9534.2</v>
      </c>
      <c r="I1360" s="7">
        <f>I1361+I1366+I1376</f>
        <v>0</v>
      </c>
      <c r="J1360" s="36">
        <f t="shared" si="291"/>
        <v>9534.2</v>
      </c>
      <c r="K1360" s="7">
        <f>K1361+K1366+K1376</f>
        <v>-17.5</v>
      </c>
      <c r="L1360" s="36">
        <f t="shared" si="285"/>
        <v>9516.7</v>
      </c>
      <c r="M1360" s="7">
        <f>M1361+M1366+M1376</f>
        <v>0</v>
      </c>
      <c r="N1360" s="36">
        <f t="shared" si="279"/>
        <v>9516.7</v>
      </c>
      <c r="O1360" s="7">
        <f>O1361+O1366+O1376</f>
        <v>0</v>
      </c>
      <c r="P1360" s="36">
        <f t="shared" si="292"/>
        <v>9516.7</v>
      </c>
      <c r="Q1360" s="7">
        <f>Q1361+Q1366+Q1376</f>
        <v>0</v>
      </c>
      <c r="R1360" s="36">
        <f t="shared" si="289"/>
        <v>9516.7</v>
      </c>
    </row>
    <row r="1361" spans="1:18" ht="12.75">
      <c r="A1361" s="62" t="str">
        <f ca="1">IF(ISERROR(MATCH(C1361,Код_Раздел,0)),"",INDIRECT(ADDRESS(MATCH(C1361,Код_Раздел,0)+1,2,,,"Раздел")))</f>
        <v>Общегосударственные  вопросы</v>
      </c>
      <c r="B1361" s="46" t="s">
        <v>162</v>
      </c>
      <c r="C1361" s="8" t="s">
        <v>221</v>
      </c>
      <c r="D1361" s="1"/>
      <c r="E1361" s="115"/>
      <c r="F1361" s="7">
        <f aca="true" t="shared" si="293" ref="F1361:Q1364">F1362</f>
        <v>20</v>
      </c>
      <c r="G1361" s="7">
        <f t="shared" si="293"/>
        <v>0</v>
      </c>
      <c r="H1361" s="36">
        <f t="shared" si="280"/>
        <v>20</v>
      </c>
      <c r="I1361" s="7">
        <f t="shared" si="293"/>
        <v>0</v>
      </c>
      <c r="J1361" s="36">
        <f t="shared" si="291"/>
        <v>20</v>
      </c>
      <c r="K1361" s="7">
        <f t="shared" si="293"/>
        <v>0</v>
      </c>
      <c r="L1361" s="36">
        <f t="shared" si="285"/>
        <v>20</v>
      </c>
      <c r="M1361" s="7">
        <f t="shared" si="293"/>
        <v>0</v>
      </c>
      <c r="N1361" s="36">
        <f t="shared" si="279"/>
        <v>20</v>
      </c>
      <c r="O1361" s="7">
        <f t="shared" si="293"/>
        <v>0</v>
      </c>
      <c r="P1361" s="36">
        <f t="shared" si="292"/>
        <v>20</v>
      </c>
      <c r="Q1361" s="7">
        <f t="shared" si="293"/>
        <v>0</v>
      </c>
      <c r="R1361" s="36">
        <f t="shared" si="289"/>
        <v>20</v>
      </c>
    </row>
    <row r="1362" spans="1:18" ht="12.75">
      <c r="A1362" s="12" t="s">
        <v>245</v>
      </c>
      <c r="B1362" s="46" t="s">
        <v>162</v>
      </c>
      <c r="C1362" s="8" t="s">
        <v>221</v>
      </c>
      <c r="D1362" s="1" t="s">
        <v>198</v>
      </c>
      <c r="E1362" s="115"/>
      <c r="F1362" s="7">
        <f t="shared" si="293"/>
        <v>20</v>
      </c>
      <c r="G1362" s="7">
        <f t="shared" si="293"/>
        <v>0</v>
      </c>
      <c r="H1362" s="36">
        <f t="shared" si="280"/>
        <v>20</v>
      </c>
      <c r="I1362" s="7">
        <f t="shared" si="293"/>
        <v>0</v>
      </c>
      <c r="J1362" s="36">
        <f t="shared" si="291"/>
        <v>20</v>
      </c>
      <c r="K1362" s="7">
        <f t="shared" si="293"/>
        <v>0</v>
      </c>
      <c r="L1362" s="36">
        <f t="shared" si="285"/>
        <v>20</v>
      </c>
      <c r="M1362" s="7">
        <f t="shared" si="293"/>
        <v>0</v>
      </c>
      <c r="N1362" s="36">
        <f aca="true" t="shared" si="294" ref="N1362:N1425">L1362+M1362</f>
        <v>20</v>
      </c>
      <c r="O1362" s="7">
        <f t="shared" si="293"/>
        <v>0</v>
      </c>
      <c r="P1362" s="36">
        <f t="shared" si="292"/>
        <v>20</v>
      </c>
      <c r="Q1362" s="7">
        <f t="shared" si="293"/>
        <v>0</v>
      </c>
      <c r="R1362" s="36">
        <f t="shared" si="289"/>
        <v>20</v>
      </c>
    </row>
    <row r="1363" spans="1:18" ht="12.75">
      <c r="A1363" s="62" t="str">
        <f ca="1">IF(ISERROR(MATCH(E1363,Код_КВР,0)),"",INDIRECT(ADDRESS(MATCH(E1363,Код_КВР,0)+1,2,,,"КВР")))</f>
        <v>Закупка товаров, работ и услуг для муниципальных нужд</v>
      </c>
      <c r="B1363" s="46" t="s">
        <v>162</v>
      </c>
      <c r="C1363" s="8" t="s">
        <v>221</v>
      </c>
      <c r="D1363" s="1" t="s">
        <v>198</v>
      </c>
      <c r="E1363" s="115">
        <v>200</v>
      </c>
      <c r="F1363" s="7">
        <f t="shared" si="293"/>
        <v>20</v>
      </c>
      <c r="G1363" s="7">
        <f t="shared" si="293"/>
        <v>0</v>
      </c>
      <c r="H1363" s="36">
        <f t="shared" si="280"/>
        <v>20</v>
      </c>
      <c r="I1363" s="7">
        <f t="shared" si="293"/>
        <v>0</v>
      </c>
      <c r="J1363" s="36">
        <f t="shared" si="291"/>
        <v>20</v>
      </c>
      <c r="K1363" s="7">
        <f t="shared" si="293"/>
        <v>0</v>
      </c>
      <c r="L1363" s="36">
        <f t="shared" si="285"/>
        <v>20</v>
      </c>
      <c r="M1363" s="7">
        <f t="shared" si="293"/>
        <v>0</v>
      </c>
      <c r="N1363" s="36">
        <f t="shared" si="294"/>
        <v>20</v>
      </c>
      <c r="O1363" s="7">
        <f t="shared" si="293"/>
        <v>0</v>
      </c>
      <c r="P1363" s="36">
        <f t="shared" si="292"/>
        <v>20</v>
      </c>
      <c r="Q1363" s="7">
        <f t="shared" si="293"/>
        <v>0</v>
      </c>
      <c r="R1363" s="36">
        <f t="shared" si="289"/>
        <v>20</v>
      </c>
    </row>
    <row r="1364" spans="1:18" ht="33">
      <c r="A1364" s="62" t="str">
        <f ca="1">IF(ISERROR(MATCH(E1364,Код_КВР,0)),"",INDIRECT(ADDRESS(MATCH(E1364,Код_КВР,0)+1,2,,,"КВР")))</f>
        <v>Иные закупки товаров, работ и услуг для обеспечения муниципальных нужд</v>
      </c>
      <c r="B1364" s="46" t="s">
        <v>162</v>
      </c>
      <c r="C1364" s="8" t="s">
        <v>221</v>
      </c>
      <c r="D1364" s="1" t="s">
        <v>198</v>
      </c>
      <c r="E1364" s="115">
        <v>240</v>
      </c>
      <c r="F1364" s="7">
        <f t="shared" si="293"/>
        <v>20</v>
      </c>
      <c r="G1364" s="7">
        <f t="shared" si="293"/>
        <v>0</v>
      </c>
      <c r="H1364" s="36">
        <f t="shared" si="280"/>
        <v>20</v>
      </c>
      <c r="I1364" s="7">
        <f t="shared" si="293"/>
        <v>0</v>
      </c>
      <c r="J1364" s="36">
        <f t="shared" si="291"/>
        <v>20</v>
      </c>
      <c r="K1364" s="7">
        <f t="shared" si="293"/>
        <v>0</v>
      </c>
      <c r="L1364" s="36">
        <f t="shared" si="285"/>
        <v>20</v>
      </c>
      <c r="M1364" s="7">
        <f t="shared" si="293"/>
        <v>0</v>
      </c>
      <c r="N1364" s="36">
        <f t="shared" si="294"/>
        <v>20</v>
      </c>
      <c r="O1364" s="7">
        <f t="shared" si="293"/>
        <v>0</v>
      </c>
      <c r="P1364" s="36">
        <f t="shared" si="292"/>
        <v>20</v>
      </c>
      <c r="Q1364" s="7">
        <f t="shared" si="293"/>
        <v>0</v>
      </c>
      <c r="R1364" s="36">
        <f t="shared" si="289"/>
        <v>20</v>
      </c>
    </row>
    <row r="1365" spans="1:18" ht="33">
      <c r="A1365" s="62" t="str">
        <f ca="1">IF(ISERROR(MATCH(E1365,Код_КВР,0)),"",INDIRECT(ADDRESS(MATCH(E1365,Код_КВР,0)+1,2,,,"КВР")))</f>
        <v xml:space="preserve">Прочая закупка товаров, работ и услуг для обеспечения муниципальных нужд         </v>
      </c>
      <c r="B1365" s="46" t="s">
        <v>162</v>
      </c>
      <c r="C1365" s="8" t="s">
        <v>221</v>
      </c>
      <c r="D1365" s="1" t="s">
        <v>198</v>
      </c>
      <c r="E1365" s="115">
        <v>244</v>
      </c>
      <c r="F1365" s="7">
        <f>'прил.5'!G156</f>
        <v>20</v>
      </c>
      <c r="G1365" s="7">
        <f>'прил.5'!H156</f>
        <v>0</v>
      </c>
      <c r="H1365" s="36">
        <f t="shared" si="280"/>
        <v>20</v>
      </c>
      <c r="I1365" s="7">
        <f>'прил.5'!J156</f>
        <v>0</v>
      </c>
      <c r="J1365" s="36">
        <f t="shared" si="291"/>
        <v>20</v>
      </c>
      <c r="K1365" s="7">
        <f>'прил.5'!L156</f>
        <v>0</v>
      </c>
      <c r="L1365" s="36">
        <f t="shared" si="285"/>
        <v>20</v>
      </c>
      <c r="M1365" s="7">
        <f>'прил.5'!N156</f>
        <v>0</v>
      </c>
      <c r="N1365" s="36">
        <f t="shared" si="294"/>
        <v>20</v>
      </c>
      <c r="O1365" s="7">
        <f>'прил.5'!P156</f>
        <v>0</v>
      </c>
      <c r="P1365" s="36">
        <f t="shared" si="292"/>
        <v>20</v>
      </c>
      <c r="Q1365" s="7">
        <f>'прил.5'!R156</f>
        <v>0</v>
      </c>
      <c r="R1365" s="36">
        <f t="shared" si="289"/>
        <v>20</v>
      </c>
    </row>
    <row r="1366" spans="1:18" ht="12.75">
      <c r="A1366" s="62" t="str">
        <f ca="1">IF(ISERROR(MATCH(C1366,Код_Раздел,0)),"",INDIRECT(ADDRESS(MATCH(C1366,Код_Раздел,0)+1,2,,,"Раздел")))</f>
        <v>Национальная безопасность и правоохранительная  деятельность</v>
      </c>
      <c r="B1366" s="46" t="s">
        <v>162</v>
      </c>
      <c r="C1366" s="8" t="s">
        <v>223</v>
      </c>
      <c r="D1366" s="1"/>
      <c r="E1366" s="115"/>
      <c r="F1366" s="7">
        <f>F1367</f>
        <v>9414.2</v>
      </c>
      <c r="G1366" s="7">
        <f>G1367</f>
        <v>0</v>
      </c>
      <c r="H1366" s="36">
        <f t="shared" si="280"/>
        <v>9414.2</v>
      </c>
      <c r="I1366" s="7">
        <f>I1367</f>
        <v>0</v>
      </c>
      <c r="J1366" s="36">
        <f t="shared" si="291"/>
        <v>9414.2</v>
      </c>
      <c r="K1366" s="7">
        <f>K1367</f>
        <v>-17.5</v>
      </c>
      <c r="L1366" s="36">
        <f t="shared" si="285"/>
        <v>9396.7</v>
      </c>
      <c r="M1366" s="7">
        <f>M1367</f>
        <v>0</v>
      </c>
      <c r="N1366" s="36">
        <f t="shared" si="294"/>
        <v>9396.7</v>
      </c>
      <c r="O1366" s="7">
        <f>O1367</f>
        <v>0</v>
      </c>
      <c r="P1366" s="36">
        <f t="shared" si="292"/>
        <v>9396.7</v>
      </c>
      <c r="Q1366" s="7">
        <f>Q1367</f>
        <v>0</v>
      </c>
      <c r="R1366" s="36">
        <f t="shared" si="289"/>
        <v>9396.7</v>
      </c>
    </row>
    <row r="1367" spans="1:18" ht="33.75" customHeight="1">
      <c r="A1367" s="12" t="s">
        <v>270</v>
      </c>
      <c r="B1367" s="46" t="s">
        <v>162</v>
      </c>
      <c r="C1367" s="8" t="s">
        <v>223</v>
      </c>
      <c r="D1367" s="1" t="s">
        <v>227</v>
      </c>
      <c r="E1367" s="115"/>
      <c r="F1367" s="7">
        <f>F1368+F1370+F1373</f>
        <v>9414.2</v>
      </c>
      <c r="G1367" s="7">
        <f>G1368+G1370+G1373</f>
        <v>0</v>
      </c>
      <c r="H1367" s="36">
        <f aca="true" t="shared" si="295" ref="H1367:H1431">F1367+G1367</f>
        <v>9414.2</v>
      </c>
      <c r="I1367" s="7">
        <f>I1368+I1370+I1373</f>
        <v>0</v>
      </c>
      <c r="J1367" s="36">
        <f t="shared" si="291"/>
        <v>9414.2</v>
      </c>
      <c r="K1367" s="7">
        <f>K1368+K1370+K1373</f>
        <v>-17.5</v>
      </c>
      <c r="L1367" s="36">
        <f t="shared" si="285"/>
        <v>9396.7</v>
      </c>
      <c r="M1367" s="7">
        <f>M1368+M1370+M1373</f>
        <v>0</v>
      </c>
      <c r="N1367" s="36">
        <f t="shared" si="294"/>
        <v>9396.7</v>
      </c>
      <c r="O1367" s="7">
        <f>O1368+O1370+O1373</f>
        <v>0</v>
      </c>
      <c r="P1367" s="36">
        <f t="shared" si="292"/>
        <v>9396.7</v>
      </c>
      <c r="Q1367" s="7">
        <f>Q1368+Q1370+Q1373</f>
        <v>0</v>
      </c>
      <c r="R1367" s="36">
        <f t="shared" si="289"/>
        <v>9396.7</v>
      </c>
    </row>
    <row r="1368" spans="1:18" ht="39" customHeight="1">
      <c r="A1368" s="62" t="str">
        <f aca="true" t="shared" si="296" ref="A1368:A1375">IF(ISERROR(MATCH(E1368,Код_КВР,0)),"",INDIRECT(ADDRESS(MATCH(E1368,Код_КВР,0)+1,2,,,"КВР")))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8" s="46" t="s">
        <v>162</v>
      </c>
      <c r="C1368" s="8" t="s">
        <v>223</v>
      </c>
      <c r="D1368" s="1" t="s">
        <v>227</v>
      </c>
      <c r="E1368" s="115">
        <v>100</v>
      </c>
      <c r="F1368" s="7">
        <f>F1369</f>
        <v>7465.6</v>
      </c>
      <c r="G1368" s="7">
        <f>G1369</f>
        <v>0</v>
      </c>
      <c r="H1368" s="36">
        <f t="shared" si="295"/>
        <v>7465.6</v>
      </c>
      <c r="I1368" s="7">
        <f>I1369</f>
        <v>0</v>
      </c>
      <c r="J1368" s="36">
        <f t="shared" si="291"/>
        <v>7465.6</v>
      </c>
      <c r="K1368" s="7">
        <f>K1369</f>
        <v>0</v>
      </c>
      <c r="L1368" s="36">
        <f t="shared" si="285"/>
        <v>7465.6</v>
      </c>
      <c r="M1368" s="7">
        <f>M1369</f>
        <v>0</v>
      </c>
      <c r="N1368" s="36">
        <f t="shared" si="294"/>
        <v>7465.6</v>
      </c>
      <c r="O1368" s="7">
        <f>O1369</f>
        <v>0</v>
      </c>
      <c r="P1368" s="36">
        <f t="shared" si="292"/>
        <v>7465.6</v>
      </c>
      <c r="Q1368" s="7">
        <f>Q1369</f>
        <v>-68.4</v>
      </c>
      <c r="R1368" s="36">
        <f t="shared" si="289"/>
        <v>7397.200000000001</v>
      </c>
    </row>
    <row r="1369" spans="1:18" ht="12.75">
      <c r="A1369" s="62" t="str">
        <f ca="1" t="shared" si="296"/>
        <v>Расходы на выплаты персоналу казенных учреждений</v>
      </c>
      <c r="B1369" s="46" t="s">
        <v>162</v>
      </c>
      <c r="C1369" s="8" t="s">
        <v>223</v>
      </c>
      <c r="D1369" s="1" t="s">
        <v>227</v>
      </c>
      <c r="E1369" s="115">
        <v>110</v>
      </c>
      <c r="F1369" s="7">
        <f>'прил.5'!G219</f>
        <v>7465.6</v>
      </c>
      <c r="G1369" s="7">
        <f>'прил.5'!H219</f>
        <v>0</v>
      </c>
      <c r="H1369" s="36">
        <f t="shared" si="295"/>
        <v>7465.6</v>
      </c>
      <c r="I1369" s="7">
        <f>'прил.5'!J219</f>
        <v>0</v>
      </c>
      <c r="J1369" s="36">
        <f t="shared" si="291"/>
        <v>7465.6</v>
      </c>
      <c r="K1369" s="7">
        <f>'прил.5'!L219</f>
        <v>0</v>
      </c>
      <c r="L1369" s="36">
        <f t="shared" si="285"/>
        <v>7465.6</v>
      </c>
      <c r="M1369" s="7">
        <f>'прил.5'!N219</f>
        <v>0</v>
      </c>
      <c r="N1369" s="36">
        <f t="shared" si="294"/>
        <v>7465.6</v>
      </c>
      <c r="O1369" s="7">
        <f>'прил.5'!P219</f>
        <v>0</v>
      </c>
      <c r="P1369" s="36">
        <f t="shared" si="292"/>
        <v>7465.6</v>
      </c>
      <c r="Q1369" s="7">
        <f>'прил.5'!R219</f>
        <v>-68.4</v>
      </c>
      <c r="R1369" s="36">
        <f t="shared" si="289"/>
        <v>7397.200000000001</v>
      </c>
    </row>
    <row r="1370" spans="1:18" ht="12.75">
      <c r="A1370" s="62" t="str">
        <f ca="1" t="shared" si="296"/>
        <v>Закупка товаров, работ и услуг для муниципальных нужд</v>
      </c>
      <c r="B1370" s="46" t="s">
        <v>162</v>
      </c>
      <c r="C1370" s="8" t="s">
        <v>223</v>
      </c>
      <c r="D1370" s="1" t="s">
        <v>227</v>
      </c>
      <c r="E1370" s="115">
        <v>200</v>
      </c>
      <c r="F1370" s="7">
        <f>F1371</f>
        <v>1688.6</v>
      </c>
      <c r="G1370" s="7">
        <f>G1371</f>
        <v>0</v>
      </c>
      <c r="H1370" s="36">
        <f t="shared" si="295"/>
        <v>1688.6</v>
      </c>
      <c r="I1370" s="7">
        <f>I1371</f>
        <v>0</v>
      </c>
      <c r="J1370" s="36">
        <f t="shared" si="291"/>
        <v>1688.6</v>
      </c>
      <c r="K1370" s="7">
        <f>K1371</f>
        <v>-17.5</v>
      </c>
      <c r="L1370" s="36">
        <f t="shared" si="285"/>
        <v>1671.1</v>
      </c>
      <c r="M1370" s="7">
        <f>M1371</f>
        <v>0</v>
      </c>
      <c r="N1370" s="36">
        <f t="shared" si="294"/>
        <v>1671.1</v>
      </c>
      <c r="O1370" s="7">
        <f>O1371</f>
        <v>0</v>
      </c>
      <c r="P1370" s="36">
        <f t="shared" si="292"/>
        <v>1671.1</v>
      </c>
      <c r="Q1370" s="7">
        <f>Q1371</f>
        <v>68.4</v>
      </c>
      <c r="R1370" s="36">
        <f t="shared" si="289"/>
        <v>1739.5</v>
      </c>
    </row>
    <row r="1371" spans="1:18" ht="33">
      <c r="A1371" s="62" t="str">
        <f ca="1" t="shared" si="296"/>
        <v>Иные закупки товаров, работ и услуг для обеспечения муниципальных нужд</v>
      </c>
      <c r="B1371" s="46" t="s">
        <v>162</v>
      </c>
      <c r="C1371" s="8" t="s">
        <v>223</v>
      </c>
      <c r="D1371" s="1" t="s">
        <v>227</v>
      </c>
      <c r="E1371" s="115">
        <v>240</v>
      </c>
      <c r="F1371" s="7">
        <f>F1372</f>
        <v>1688.6</v>
      </c>
      <c r="G1371" s="7">
        <f>G1372</f>
        <v>0</v>
      </c>
      <c r="H1371" s="36">
        <f t="shared" si="295"/>
        <v>1688.6</v>
      </c>
      <c r="I1371" s="7">
        <f>I1372</f>
        <v>0</v>
      </c>
      <c r="J1371" s="36">
        <f t="shared" si="291"/>
        <v>1688.6</v>
      </c>
      <c r="K1371" s="7">
        <f>K1372</f>
        <v>-17.5</v>
      </c>
      <c r="L1371" s="36">
        <f t="shared" si="285"/>
        <v>1671.1</v>
      </c>
      <c r="M1371" s="7">
        <f>M1372</f>
        <v>0</v>
      </c>
      <c r="N1371" s="36">
        <f t="shared" si="294"/>
        <v>1671.1</v>
      </c>
      <c r="O1371" s="7">
        <f>O1372</f>
        <v>0</v>
      </c>
      <c r="P1371" s="36">
        <f t="shared" si="292"/>
        <v>1671.1</v>
      </c>
      <c r="Q1371" s="7">
        <f>Q1372</f>
        <v>68.4</v>
      </c>
      <c r="R1371" s="36">
        <f t="shared" si="289"/>
        <v>1739.5</v>
      </c>
    </row>
    <row r="1372" spans="1:18" ht="33">
      <c r="A1372" s="62" t="str">
        <f ca="1" t="shared" si="296"/>
        <v xml:space="preserve">Прочая закупка товаров, работ и услуг для обеспечения муниципальных нужд         </v>
      </c>
      <c r="B1372" s="46" t="s">
        <v>162</v>
      </c>
      <c r="C1372" s="8" t="s">
        <v>223</v>
      </c>
      <c r="D1372" s="1" t="s">
        <v>227</v>
      </c>
      <c r="E1372" s="115">
        <v>244</v>
      </c>
      <c r="F1372" s="7">
        <f>'прил.5'!G222</f>
        <v>1688.6</v>
      </c>
      <c r="G1372" s="7">
        <f>'прил.5'!H222</f>
        <v>0</v>
      </c>
      <c r="H1372" s="36">
        <f t="shared" si="295"/>
        <v>1688.6</v>
      </c>
      <c r="I1372" s="7">
        <f>'прил.5'!J222</f>
        <v>0</v>
      </c>
      <c r="J1372" s="36">
        <f t="shared" si="291"/>
        <v>1688.6</v>
      </c>
      <c r="K1372" s="7">
        <f>'прил.5'!L222</f>
        <v>-17.5</v>
      </c>
      <c r="L1372" s="36">
        <f t="shared" si="285"/>
        <v>1671.1</v>
      </c>
      <c r="M1372" s="7">
        <f>'прил.5'!N222</f>
        <v>0</v>
      </c>
      <c r="N1372" s="36">
        <f t="shared" si="294"/>
        <v>1671.1</v>
      </c>
      <c r="O1372" s="7">
        <f>'прил.5'!P222</f>
        <v>0</v>
      </c>
      <c r="P1372" s="36">
        <f t="shared" si="292"/>
        <v>1671.1</v>
      </c>
      <c r="Q1372" s="7">
        <f>'прил.5'!R222</f>
        <v>68.4</v>
      </c>
      <c r="R1372" s="36">
        <f t="shared" si="289"/>
        <v>1739.5</v>
      </c>
    </row>
    <row r="1373" spans="1:18" ht="12.75">
      <c r="A1373" s="62" t="str">
        <f ca="1" t="shared" si="296"/>
        <v>Иные бюджетные ассигнования</v>
      </c>
      <c r="B1373" s="46" t="s">
        <v>162</v>
      </c>
      <c r="C1373" s="8" t="s">
        <v>223</v>
      </c>
      <c r="D1373" s="1" t="s">
        <v>227</v>
      </c>
      <c r="E1373" s="115">
        <v>800</v>
      </c>
      <c r="F1373" s="7">
        <f>F1374</f>
        <v>260</v>
      </c>
      <c r="G1373" s="7">
        <f>G1374</f>
        <v>0</v>
      </c>
      <c r="H1373" s="36">
        <f t="shared" si="295"/>
        <v>260</v>
      </c>
      <c r="I1373" s="7">
        <f>I1374</f>
        <v>0</v>
      </c>
      <c r="J1373" s="36">
        <f t="shared" si="291"/>
        <v>260</v>
      </c>
      <c r="K1373" s="7">
        <f>K1374</f>
        <v>0</v>
      </c>
      <c r="L1373" s="36">
        <f t="shared" si="285"/>
        <v>260</v>
      </c>
      <c r="M1373" s="7">
        <f>M1374</f>
        <v>0</v>
      </c>
      <c r="N1373" s="36">
        <f t="shared" si="294"/>
        <v>260</v>
      </c>
      <c r="O1373" s="7">
        <f>O1374</f>
        <v>0</v>
      </c>
      <c r="P1373" s="36">
        <f t="shared" si="292"/>
        <v>260</v>
      </c>
      <c r="Q1373" s="7">
        <f>Q1374</f>
        <v>0</v>
      </c>
      <c r="R1373" s="36">
        <f t="shared" si="289"/>
        <v>260</v>
      </c>
    </row>
    <row r="1374" spans="1:18" ht="12.75">
      <c r="A1374" s="62" t="str">
        <f ca="1" t="shared" si="296"/>
        <v>Уплата налогов, сборов и иных платежей</v>
      </c>
      <c r="B1374" s="46" t="s">
        <v>162</v>
      </c>
      <c r="C1374" s="8" t="s">
        <v>223</v>
      </c>
      <c r="D1374" s="1" t="s">
        <v>227</v>
      </c>
      <c r="E1374" s="115">
        <v>850</v>
      </c>
      <c r="F1374" s="7">
        <f>F1375</f>
        <v>260</v>
      </c>
      <c r="G1374" s="7">
        <f>G1375</f>
        <v>0</v>
      </c>
      <c r="H1374" s="36">
        <f t="shared" si="295"/>
        <v>260</v>
      </c>
      <c r="I1374" s="7">
        <f>I1375</f>
        <v>0</v>
      </c>
      <c r="J1374" s="36">
        <f t="shared" si="291"/>
        <v>260</v>
      </c>
      <c r="K1374" s="7">
        <f>K1375</f>
        <v>0</v>
      </c>
      <c r="L1374" s="36">
        <f t="shared" si="285"/>
        <v>260</v>
      </c>
      <c r="M1374" s="7">
        <f>M1375</f>
        <v>0</v>
      </c>
      <c r="N1374" s="36">
        <f t="shared" si="294"/>
        <v>260</v>
      </c>
      <c r="O1374" s="7">
        <f>O1375</f>
        <v>0</v>
      </c>
      <c r="P1374" s="36">
        <f t="shared" si="292"/>
        <v>260</v>
      </c>
      <c r="Q1374" s="7">
        <f>Q1375</f>
        <v>0</v>
      </c>
      <c r="R1374" s="36">
        <f t="shared" si="289"/>
        <v>260</v>
      </c>
    </row>
    <row r="1375" spans="1:18" ht="12.75">
      <c r="A1375" s="62" t="str">
        <f ca="1" t="shared" si="296"/>
        <v>Уплата налога на имущество организаций и земельного налога</v>
      </c>
      <c r="B1375" s="46" t="s">
        <v>162</v>
      </c>
      <c r="C1375" s="8" t="s">
        <v>223</v>
      </c>
      <c r="D1375" s="1" t="s">
        <v>227</v>
      </c>
      <c r="E1375" s="115">
        <v>851</v>
      </c>
      <c r="F1375" s="7">
        <f>'прил.5'!G225</f>
        <v>260</v>
      </c>
      <c r="G1375" s="7">
        <f>'прил.5'!H225</f>
        <v>0</v>
      </c>
      <c r="H1375" s="36">
        <f t="shared" si="295"/>
        <v>260</v>
      </c>
      <c r="I1375" s="7">
        <f>'прил.5'!J225</f>
        <v>0</v>
      </c>
      <c r="J1375" s="36">
        <f t="shared" si="291"/>
        <v>260</v>
      </c>
      <c r="K1375" s="7">
        <f>'прил.5'!L225</f>
        <v>0</v>
      </c>
      <c r="L1375" s="36">
        <f t="shared" si="285"/>
        <v>260</v>
      </c>
      <c r="M1375" s="7">
        <f>'прил.5'!N225</f>
        <v>0</v>
      </c>
      <c r="N1375" s="36">
        <f t="shared" si="294"/>
        <v>260</v>
      </c>
      <c r="O1375" s="7">
        <f>'прил.5'!P225</f>
        <v>0</v>
      </c>
      <c r="P1375" s="36">
        <f t="shared" si="292"/>
        <v>260</v>
      </c>
      <c r="Q1375" s="7">
        <f>'прил.5'!R225</f>
        <v>0</v>
      </c>
      <c r="R1375" s="36">
        <f t="shared" si="289"/>
        <v>260</v>
      </c>
    </row>
    <row r="1376" spans="1:18" ht="12.75">
      <c r="A1376" s="62" t="str">
        <f ca="1">IF(ISERROR(MATCH(C1376,Код_Раздел,0)),"",INDIRECT(ADDRESS(MATCH(C1376,Код_Раздел,0)+1,2,,,"Раздел")))</f>
        <v>Социальная политика</v>
      </c>
      <c r="B1376" s="46" t="s">
        <v>162</v>
      </c>
      <c r="C1376" s="8" t="s">
        <v>196</v>
      </c>
      <c r="D1376" s="1"/>
      <c r="E1376" s="115"/>
      <c r="F1376" s="7">
        <f aca="true" t="shared" si="297" ref="F1376:Q1378">F1377</f>
        <v>100</v>
      </c>
      <c r="G1376" s="7">
        <f t="shared" si="297"/>
        <v>0</v>
      </c>
      <c r="H1376" s="36">
        <f t="shared" si="295"/>
        <v>100</v>
      </c>
      <c r="I1376" s="7">
        <f t="shared" si="297"/>
        <v>0</v>
      </c>
      <c r="J1376" s="36">
        <f t="shared" si="291"/>
        <v>100</v>
      </c>
      <c r="K1376" s="7">
        <f t="shared" si="297"/>
        <v>0</v>
      </c>
      <c r="L1376" s="36">
        <f t="shared" si="285"/>
        <v>100</v>
      </c>
      <c r="M1376" s="7">
        <f t="shared" si="297"/>
        <v>0</v>
      </c>
      <c r="N1376" s="36">
        <f t="shared" si="294"/>
        <v>100</v>
      </c>
      <c r="O1376" s="7">
        <f t="shared" si="297"/>
        <v>0</v>
      </c>
      <c r="P1376" s="36">
        <f t="shared" si="292"/>
        <v>100</v>
      </c>
      <c r="Q1376" s="7">
        <f t="shared" si="297"/>
        <v>0</v>
      </c>
      <c r="R1376" s="36">
        <f t="shared" si="289"/>
        <v>100</v>
      </c>
    </row>
    <row r="1377" spans="1:18" ht="12.75">
      <c r="A1377" s="12" t="s">
        <v>187</v>
      </c>
      <c r="B1377" s="46" t="s">
        <v>162</v>
      </c>
      <c r="C1377" s="8" t="s">
        <v>196</v>
      </c>
      <c r="D1377" s="1" t="s">
        <v>223</v>
      </c>
      <c r="E1377" s="115"/>
      <c r="F1377" s="7">
        <f t="shared" si="297"/>
        <v>100</v>
      </c>
      <c r="G1377" s="7">
        <f t="shared" si="297"/>
        <v>0</v>
      </c>
      <c r="H1377" s="36">
        <f t="shared" si="295"/>
        <v>100</v>
      </c>
      <c r="I1377" s="7">
        <f t="shared" si="297"/>
        <v>0</v>
      </c>
      <c r="J1377" s="36">
        <f t="shared" si="291"/>
        <v>100</v>
      </c>
      <c r="K1377" s="7">
        <f t="shared" si="297"/>
        <v>0</v>
      </c>
      <c r="L1377" s="36">
        <f t="shared" si="285"/>
        <v>100</v>
      </c>
      <c r="M1377" s="7">
        <f t="shared" si="297"/>
        <v>0</v>
      </c>
      <c r="N1377" s="36">
        <f t="shared" si="294"/>
        <v>100</v>
      </c>
      <c r="O1377" s="7">
        <f t="shared" si="297"/>
        <v>0</v>
      </c>
      <c r="P1377" s="36">
        <f t="shared" si="292"/>
        <v>100</v>
      </c>
      <c r="Q1377" s="7">
        <f t="shared" si="297"/>
        <v>0</v>
      </c>
      <c r="R1377" s="36">
        <f t="shared" si="289"/>
        <v>100</v>
      </c>
    </row>
    <row r="1378" spans="1:18" ht="12.75">
      <c r="A1378" s="62" t="str">
        <f ca="1">IF(ISERROR(MATCH(E1378,Код_КВР,0)),"",INDIRECT(ADDRESS(MATCH(E1378,Код_КВР,0)+1,2,,,"КВР")))</f>
        <v>Социальное обеспечение и иные выплаты населению</v>
      </c>
      <c r="B1378" s="46" t="s">
        <v>162</v>
      </c>
      <c r="C1378" s="8" t="s">
        <v>196</v>
      </c>
      <c r="D1378" s="1" t="s">
        <v>223</v>
      </c>
      <c r="E1378" s="115">
        <v>300</v>
      </c>
      <c r="F1378" s="7">
        <f t="shared" si="297"/>
        <v>100</v>
      </c>
      <c r="G1378" s="7">
        <f t="shared" si="297"/>
        <v>0</v>
      </c>
      <c r="H1378" s="36">
        <f t="shared" si="295"/>
        <v>100</v>
      </c>
      <c r="I1378" s="7">
        <f t="shared" si="297"/>
        <v>0</v>
      </c>
      <c r="J1378" s="36">
        <f t="shared" si="291"/>
        <v>100</v>
      </c>
      <c r="K1378" s="7">
        <f t="shared" si="297"/>
        <v>0</v>
      </c>
      <c r="L1378" s="36">
        <f t="shared" si="285"/>
        <v>100</v>
      </c>
      <c r="M1378" s="7">
        <f t="shared" si="297"/>
        <v>0</v>
      </c>
      <c r="N1378" s="36">
        <f t="shared" si="294"/>
        <v>100</v>
      </c>
      <c r="O1378" s="7">
        <f t="shared" si="297"/>
        <v>0</v>
      </c>
      <c r="P1378" s="36">
        <f t="shared" si="292"/>
        <v>100</v>
      </c>
      <c r="Q1378" s="7">
        <f t="shared" si="297"/>
        <v>0</v>
      </c>
      <c r="R1378" s="36">
        <f t="shared" si="289"/>
        <v>100</v>
      </c>
    </row>
    <row r="1379" spans="1:18" ht="12.75">
      <c r="A1379" s="62" t="str">
        <f ca="1">IF(ISERROR(MATCH(E1379,Код_КВР,0)),"",INDIRECT(ADDRESS(MATCH(E1379,Код_КВР,0)+1,2,,,"КВР")))</f>
        <v>Иные выплаты населению</v>
      </c>
      <c r="B1379" s="46" t="s">
        <v>162</v>
      </c>
      <c r="C1379" s="8" t="s">
        <v>196</v>
      </c>
      <c r="D1379" s="1" t="s">
        <v>223</v>
      </c>
      <c r="E1379" s="115">
        <v>360</v>
      </c>
      <c r="F1379" s="7">
        <f>'прил.5'!G361</f>
        <v>100</v>
      </c>
      <c r="G1379" s="7">
        <f>'прил.5'!H361</f>
        <v>0</v>
      </c>
      <c r="H1379" s="36">
        <f t="shared" si="295"/>
        <v>100</v>
      </c>
      <c r="I1379" s="7">
        <f>'прил.5'!J361</f>
        <v>0</v>
      </c>
      <c r="J1379" s="36">
        <f t="shared" si="291"/>
        <v>100</v>
      </c>
      <c r="K1379" s="7">
        <f>'прил.5'!L361</f>
        <v>0</v>
      </c>
      <c r="L1379" s="36">
        <f t="shared" si="285"/>
        <v>100</v>
      </c>
      <c r="M1379" s="7">
        <f>'прил.5'!N361</f>
        <v>0</v>
      </c>
      <c r="N1379" s="36">
        <f t="shared" si="294"/>
        <v>100</v>
      </c>
      <c r="O1379" s="7">
        <f>'прил.5'!P361</f>
        <v>0</v>
      </c>
      <c r="P1379" s="36">
        <f t="shared" si="292"/>
        <v>100</v>
      </c>
      <c r="Q1379" s="7">
        <f>'прил.5'!R361</f>
        <v>0</v>
      </c>
      <c r="R1379" s="36">
        <f t="shared" si="289"/>
        <v>100</v>
      </c>
    </row>
    <row r="1380" spans="1:18" ht="49.5">
      <c r="A1380" s="62" t="str">
        <f ca="1">IF(ISERROR(MATCH(B1380,Код_КЦСР,0)),"",INDIRECT(ADDRESS(MATCH(B1380,Код_КЦСР,0)+1,2,,,"КЦСР")))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380" s="115" t="s">
        <v>396</v>
      </c>
      <c r="C1380" s="8"/>
      <c r="D1380" s="1"/>
      <c r="E1380" s="115"/>
      <c r="F1380" s="7">
        <f aca="true" t="shared" si="298" ref="F1380:Q1384">F1381</f>
        <v>1235.2</v>
      </c>
      <c r="G1380" s="7">
        <f t="shared" si="298"/>
        <v>0</v>
      </c>
      <c r="H1380" s="36">
        <f t="shared" si="295"/>
        <v>1235.2</v>
      </c>
      <c r="I1380" s="7">
        <f t="shared" si="298"/>
        <v>0</v>
      </c>
      <c r="J1380" s="36">
        <f t="shared" si="291"/>
        <v>1235.2</v>
      </c>
      <c r="K1380" s="7">
        <f t="shared" si="298"/>
        <v>0</v>
      </c>
      <c r="L1380" s="36">
        <f t="shared" si="285"/>
        <v>1235.2</v>
      </c>
      <c r="M1380" s="7">
        <f t="shared" si="298"/>
        <v>0</v>
      </c>
      <c r="N1380" s="36">
        <f t="shared" si="294"/>
        <v>1235.2</v>
      </c>
      <c r="O1380" s="7">
        <f t="shared" si="298"/>
        <v>0</v>
      </c>
      <c r="P1380" s="36">
        <f t="shared" si="292"/>
        <v>1235.2</v>
      </c>
      <c r="Q1380" s="7">
        <f t="shared" si="298"/>
        <v>0</v>
      </c>
      <c r="R1380" s="36">
        <f t="shared" si="289"/>
        <v>1235.2</v>
      </c>
    </row>
    <row r="1381" spans="1:18" ht="12.75">
      <c r="A1381" s="62" t="str">
        <f ca="1">IF(ISERROR(MATCH(C1381,Код_Раздел,0)),"",INDIRECT(ADDRESS(MATCH(C1381,Код_Раздел,0)+1,2,,,"Раздел")))</f>
        <v>Национальная экономика</v>
      </c>
      <c r="B1381" s="115" t="s">
        <v>396</v>
      </c>
      <c r="C1381" s="8" t="s">
        <v>224</v>
      </c>
      <c r="D1381" s="1"/>
      <c r="E1381" s="115"/>
      <c r="F1381" s="7">
        <f t="shared" si="298"/>
        <v>1235.2</v>
      </c>
      <c r="G1381" s="7">
        <f t="shared" si="298"/>
        <v>0</v>
      </c>
      <c r="H1381" s="36">
        <f t="shared" si="295"/>
        <v>1235.2</v>
      </c>
      <c r="I1381" s="7">
        <f t="shared" si="298"/>
        <v>0</v>
      </c>
      <c r="J1381" s="36">
        <f t="shared" si="291"/>
        <v>1235.2</v>
      </c>
      <c r="K1381" s="7">
        <f t="shared" si="298"/>
        <v>0</v>
      </c>
      <c r="L1381" s="36">
        <f t="shared" si="285"/>
        <v>1235.2</v>
      </c>
      <c r="M1381" s="7">
        <f t="shared" si="298"/>
        <v>0</v>
      </c>
      <c r="N1381" s="36">
        <f t="shared" si="294"/>
        <v>1235.2</v>
      </c>
      <c r="O1381" s="7">
        <f t="shared" si="298"/>
        <v>0</v>
      </c>
      <c r="P1381" s="36">
        <f t="shared" si="292"/>
        <v>1235.2</v>
      </c>
      <c r="Q1381" s="7">
        <f t="shared" si="298"/>
        <v>0</v>
      </c>
      <c r="R1381" s="36">
        <f t="shared" si="289"/>
        <v>1235.2</v>
      </c>
    </row>
    <row r="1382" spans="1:18" ht="12.75">
      <c r="A1382" s="12" t="s">
        <v>238</v>
      </c>
      <c r="B1382" s="115" t="s">
        <v>396</v>
      </c>
      <c r="C1382" s="8" t="s">
        <v>224</v>
      </c>
      <c r="D1382" s="1" t="s">
        <v>196</v>
      </c>
      <c r="E1382" s="115"/>
      <c r="F1382" s="7">
        <f t="shared" si="298"/>
        <v>1235.2</v>
      </c>
      <c r="G1382" s="7">
        <f t="shared" si="298"/>
        <v>0</v>
      </c>
      <c r="H1382" s="36">
        <f t="shared" si="295"/>
        <v>1235.2</v>
      </c>
      <c r="I1382" s="7">
        <f t="shared" si="298"/>
        <v>0</v>
      </c>
      <c r="J1382" s="36">
        <f t="shared" si="291"/>
        <v>1235.2</v>
      </c>
      <c r="K1382" s="7">
        <f t="shared" si="298"/>
        <v>0</v>
      </c>
      <c r="L1382" s="36">
        <f t="shared" si="285"/>
        <v>1235.2</v>
      </c>
      <c r="M1382" s="7">
        <f t="shared" si="298"/>
        <v>0</v>
      </c>
      <c r="N1382" s="36">
        <f t="shared" si="294"/>
        <v>1235.2</v>
      </c>
      <c r="O1382" s="7">
        <f t="shared" si="298"/>
        <v>0</v>
      </c>
      <c r="P1382" s="36">
        <f t="shared" si="292"/>
        <v>1235.2</v>
      </c>
      <c r="Q1382" s="7">
        <f t="shared" si="298"/>
        <v>0</v>
      </c>
      <c r="R1382" s="36">
        <f t="shared" si="289"/>
        <v>1235.2</v>
      </c>
    </row>
    <row r="1383" spans="1:18" ht="33">
      <c r="A1383" s="62" t="str">
        <f ca="1">IF(ISERROR(MATCH(E1383,Код_КВР,0)),"",INDIRECT(ADDRESS(MATCH(E1383,Код_КВР,0)+1,2,,,"КВР")))</f>
        <v>Предоставление субсидий бюджетным, автономным учреждениям и иным некоммерческим организациям</v>
      </c>
      <c r="B1383" s="115" t="s">
        <v>396</v>
      </c>
      <c r="C1383" s="8" t="s">
        <v>224</v>
      </c>
      <c r="D1383" s="1" t="s">
        <v>196</v>
      </c>
      <c r="E1383" s="115">
        <v>600</v>
      </c>
      <c r="F1383" s="7">
        <f t="shared" si="298"/>
        <v>1235.2</v>
      </c>
      <c r="G1383" s="7">
        <f t="shared" si="298"/>
        <v>0</v>
      </c>
      <c r="H1383" s="36">
        <f t="shared" si="295"/>
        <v>1235.2</v>
      </c>
      <c r="I1383" s="7">
        <f t="shared" si="298"/>
        <v>0</v>
      </c>
      <c r="J1383" s="36">
        <f t="shared" si="291"/>
        <v>1235.2</v>
      </c>
      <c r="K1383" s="7">
        <f t="shared" si="298"/>
        <v>0</v>
      </c>
      <c r="L1383" s="36">
        <f t="shared" si="285"/>
        <v>1235.2</v>
      </c>
      <c r="M1383" s="7">
        <f t="shared" si="298"/>
        <v>0</v>
      </c>
      <c r="N1383" s="36">
        <f t="shared" si="294"/>
        <v>1235.2</v>
      </c>
      <c r="O1383" s="7">
        <f t="shared" si="298"/>
        <v>0</v>
      </c>
      <c r="P1383" s="36">
        <f t="shared" si="292"/>
        <v>1235.2</v>
      </c>
      <c r="Q1383" s="7">
        <f t="shared" si="298"/>
        <v>0</v>
      </c>
      <c r="R1383" s="36">
        <f t="shared" si="289"/>
        <v>1235.2</v>
      </c>
    </row>
    <row r="1384" spans="1:18" ht="12.75">
      <c r="A1384" s="62" t="str">
        <f ca="1">IF(ISERROR(MATCH(E1384,Код_КВР,0)),"",INDIRECT(ADDRESS(MATCH(E1384,Код_КВР,0)+1,2,,,"КВР")))</f>
        <v>Субсидии бюджетным учреждениям</v>
      </c>
      <c r="B1384" s="115" t="s">
        <v>396</v>
      </c>
      <c r="C1384" s="8" t="s">
        <v>224</v>
      </c>
      <c r="D1384" s="1" t="s">
        <v>196</v>
      </c>
      <c r="E1384" s="115">
        <v>610</v>
      </c>
      <c r="F1384" s="7">
        <f t="shared" si="298"/>
        <v>1235.2</v>
      </c>
      <c r="G1384" s="7">
        <f t="shared" si="298"/>
        <v>0</v>
      </c>
      <c r="H1384" s="36">
        <f t="shared" si="295"/>
        <v>1235.2</v>
      </c>
      <c r="I1384" s="7">
        <f t="shared" si="298"/>
        <v>0</v>
      </c>
      <c r="J1384" s="36">
        <f t="shared" si="291"/>
        <v>1235.2</v>
      </c>
      <c r="K1384" s="7">
        <f t="shared" si="298"/>
        <v>0</v>
      </c>
      <c r="L1384" s="36">
        <f t="shared" si="285"/>
        <v>1235.2</v>
      </c>
      <c r="M1384" s="7">
        <f t="shared" si="298"/>
        <v>0</v>
      </c>
      <c r="N1384" s="36">
        <f t="shared" si="294"/>
        <v>1235.2</v>
      </c>
      <c r="O1384" s="7">
        <f t="shared" si="298"/>
        <v>0</v>
      </c>
      <c r="P1384" s="36">
        <f t="shared" si="292"/>
        <v>1235.2</v>
      </c>
      <c r="Q1384" s="7">
        <f t="shared" si="298"/>
        <v>0</v>
      </c>
      <c r="R1384" s="36">
        <f t="shared" si="289"/>
        <v>1235.2</v>
      </c>
    </row>
    <row r="1385" spans="1:18" ht="12.75">
      <c r="A1385" s="62" t="str">
        <f ca="1">IF(ISERROR(MATCH(E1385,Код_КВР,0)),"",INDIRECT(ADDRESS(MATCH(E1385,Код_КВР,0)+1,2,,,"КВР")))</f>
        <v>Субсидии бюджетным учреждениям на иные цели</v>
      </c>
      <c r="B1385" s="115" t="s">
        <v>396</v>
      </c>
      <c r="C1385" s="8" t="s">
        <v>224</v>
      </c>
      <c r="D1385" s="1" t="s">
        <v>196</v>
      </c>
      <c r="E1385" s="115">
        <v>612</v>
      </c>
      <c r="F1385" s="7">
        <f>'прил.5'!G269</f>
        <v>1235.2</v>
      </c>
      <c r="G1385" s="7">
        <f>'прил.5'!H269</f>
        <v>0</v>
      </c>
      <c r="H1385" s="36">
        <f t="shared" si="295"/>
        <v>1235.2</v>
      </c>
      <c r="I1385" s="7">
        <f>'прил.5'!J269</f>
        <v>0</v>
      </c>
      <c r="J1385" s="36">
        <f t="shared" si="291"/>
        <v>1235.2</v>
      </c>
      <c r="K1385" s="7">
        <f>'прил.5'!L269</f>
        <v>0</v>
      </c>
      <c r="L1385" s="36">
        <f t="shared" si="285"/>
        <v>1235.2</v>
      </c>
      <c r="M1385" s="7">
        <f>'прил.5'!N269</f>
        <v>0</v>
      </c>
      <c r="N1385" s="36">
        <f t="shared" si="294"/>
        <v>1235.2</v>
      </c>
      <c r="O1385" s="7">
        <f>'прил.5'!P269</f>
        <v>0</v>
      </c>
      <c r="P1385" s="36">
        <f t="shared" si="292"/>
        <v>1235.2</v>
      </c>
      <c r="Q1385" s="7">
        <f>'прил.5'!R269</f>
        <v>0</v>
      </c>
      <c r="R1385" s="36">
        <f t="shared" si="289"/>
        <v>1235.2</v>
      </c>
    </row>
    <row r="1386" spans="1:18" ht="33">
      <c r="A1386" s="62" t="str">
        <f aca="true" t="shared" si="299" ref="A1386:A1396">IF(ISERROR(MATCH(B1386,Код_КЦСР,0)),"",INDIRECT(ADDRESS(MATCH(B1386,Код_КЦСР,0)+1,2,,,"КЦСР")))</f>
        <v>Повышение безопасности дорожного движения в городе Череповце</v>
      </c>
      <c r="B1386" s="44" t="s">
        <v>164</v>
      </c>
      <c r="C1386" s="8"/>
      <c r="D1386" s="1"/>
      <c r="E1386" s="115"/>
      <c r="F1386" s="7">
        <f aca="true" t="shared" si="300" ref="F1386:Q1391">F1387</f>
        <v>30</v>
      </c>
      <c r="G1386" s="7">
        <f t="shared" si="300"/>
        <v>0</v>
      </c>
      <c r="H1386" s="36">
        <f t="shared" si="295"/>
        <v>30</v>
      </c>
      <c r="I1386" s="7">
        <f t="shared" si="300"/>
        <v>0</v>
      </c>
      <c r="J1386" s="36">
        <f t="shared" si="291"/>
        <v>30</v>
      </c>
      <c r="K1386" s="7">
        <f t="shared" si="300"/>
        <v>0</v>
      </c>
      <c r="L1386" s="36">
        <f t="shared" si="285"/>
        <v>30</v>
      </c>
      <c r="M1386" s="7">
        <f t="shared" si="300"/>
        <v>0</v>
      </c>
      <c r="N1386" s="36">
        <f t="shared" si="294"/>
        <v>30</v>
      </c>
      <c r="O1386" s="7">
        <f t="shared" si="300"/>
        <v>0</v>
      </c>
      <c r="P1386" s="36">
        <f t="shared" si="292"/>
        <v>30</v>
      </c>
      <c r="Q1386" s="7">
        <f t="shared" si="300"/>
        <v>0</v>
      </c>
      <c r="R1386" s="36">
        <f t="shared" si="289"/>
        <v>30</v>
      </c>
    </row>
    <row r="1387" spans="1:18" ht="49.5">
      <c r="A1387" s="62" t="str">
        <f ca="1" t="shared" si="299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387" s="44" t="s">
        <v>166</v>
      </c>
      <c r="C1387" s="8"/>
      <c r="D1387" s="1"/>
      <c r="E1387" s="115"/>
      <c r="F1387" s="7">
        <f t="shared" si="300"/>
        <v>30</v>
      </c>
      <c r="G1387" s="7">
        <f t="shared" si="300"/>
        <v>0</v>
      </c>
      <c r="H1387" s="36">
        <f t="shared" si="295"/>
        <v>30</v>
      </c>
      <c r="I1387" s="7">
        <f t="shared" si="300"/>
        <v>0</v>
      </c>
      <c r="J1387" s="36">
        <f t="shared" si="291"/>
        <v>30</v>
      </c>
      <c r="K1387" s="7">
        <f t="shared" si="300"/>
        <v>0</v>
      </c>
      <c r="L1387" s="36">
        <f t="shared" si="285"/>
        <v>30</v>
      </c>
      <c r="M1387" s="7">
        <f t="shared" si="300"/>
        <v>0</v>
      </c>
      <c r="N1387" s="36">
        <f t="shared" si="294"/>
        <v>30</v>
      </c>
      <c r="O1387" s="7">
        <f t="shared" si="300"/>
        <v>0</v>
      </c>
      <c r="P1387" s="36">
        <f t="shared" si="292"/>
        <v>30</v>
      </c>
      <c r="Q1387" s="7">
        <f t="shared" si="300"/>
        <v>0</v>
      </c>
      <c r="R1387" s="36">
        <f t="shared" si="289"/>
        <v>30</v>
      </c>
    </row>
    <row r="1388" spans="1:18" ht="12.75">
      <c r="A1388" s="62" t="str">
        <f ca="1">IF(ISERROR(MATCH(C1388,Код_Раздел,0)),"",INDIRECT(ADDRESS(MATCH(C1388,Код_Раздел,0)+1,2,,,"Раздел")))</f>
        <v>Образование</v>
      </c>
      <c r="B1388" s="44" t="s">
        <v>166</v>
      </c>
      <c r="C1388" s="8" t="s">
        <v>203</v>
      </c>
      <c r="D1388" s="1"/>
      <c r="E1388" s="115"/>
      <c r="F1388" s="7">
        <f t="shared" si="300"/>
        <v>30</v>
      </c>
      <c r="G1388" s="7">
        <f t="shared" si="300"/>
        <v>0</v>
      </c>
      <c r="H1388" s="36">
        <f t="shared" si="295"/>
        <v>30</v>
      </c>
      <c r="I1388" s="7">
        <f t="shared" si="300"/>
        <v>0</v>
      </c>
      <c r="J1388" s="36">
        <f t="shared" si="291"/>
        <v>30</v>
      </c>
      <c r="K1388" s="7">
        <f t="shared" si="300"/>
        <v>0</v>
      </c>
      <c r="L1388" s="36">
        <f aca="true" t="shared" si="301" ref="L1388:L1452">J1388+K1388</f>
        <v>30</v>
      </c>
      <c r="M1388" s="7">
        <f t="shared" si="300"/>
        <v>0</v>
      </c>
      <c r="N1388" s="36">
        <f t="shared" si="294"/>
        <v>30</v>
      </c>
      <c r="O1388" s="7">
        <f t="shared" si="300"/>
        <v>0</v>
      </c>
      <c r="P1388" s="36">
        <f t="shared" si="292"/>
        <v>30</v>
      </c>
      <c r="Q1388" s="7">
        <f t="shared" si="300"/>
        <v>0</v>
      </c>
      <c r="R1388" s="36">
        <f t="shared" si="289"/>
        <v>30</v>
      </c>
    </row>
    <row r="1389" spans="1:18" ht="12.75">
      <c r="A1389" s="12" t="s">
        <v>259</v>
      </c>
      <c r="B1389" s="44" t="s">
        <v>166</v>
      </c>
      <c r="C1389" s="8" t="s">
        <v>203</v>
      </c>
      <c r="D1389" s="1" t="s">
        <v>227</v>
      </c>
      <c r="E1389" s="115"/>
      <c r="F1389" s="7">
        <f t="shared" si="300"/>
        <v>30</v>
      </c>
      <c r="G1389" s="7">
        <f t="shared" si="300"/>
        <v>0</v>
      </c>
      <c r="H1389" s="36">
        <f t="shared" si="295"/>
        <v>30</v>
      </c>
      <c r="I1389" s="7">
        <f t="shared" si="300"/>
        <v>0</v>
      </c>
      <c r="J1389" s="36">
        <f t="shared" si="291"/>
        <v>30</v>
      </c>
      <c r="K1389" s="7">
        <f t="shared" si="300"/>
        <v>0</v>
      </c>
      <c r="L1389" s="36">
        <f t="shared" si="301"/>
        <v>30</v>
      </c>
      <c r="M1389" s="7">
        <f t="shared" si="300"/>
        <v>0</v>
      </c>
      <c r="N1389" s="36">
        <f t="shared" si="294"/>
        <v>30</v>
      </c>
      <c r="O1389" s="7">
        <f t="shared" si="300"/>
        <v>0</v>
      </c>
      <c r="P1389" s="36">
        <f t="shared" si="292"/>
        <v>30</v>
      </c>
      <c r="Q1389" s="7">
        <f t="shared" si="300"/>
        <v>0</v>
      </c>
      <c r="R1389" s="36">
        <f t="shared" si="289"/>
        <v>30</v>
      </c>
    </row>
    <row r="1390" spans="1:18" ht="33">
      <c r="A1390" s="62" t="str">
        <f ca="1">IF(ISERROR(MATCH(E1390,Код_КВР,0)),"",INDIRECT(ADDRESS(MATCH(E1390,Код_КВР,0)+1,2,,,"КВР")))</f>
        <v>Предоставление субсидий бюджетным, автономным учреждениям и иным некоммерческим организациям</v>
      </c>
      <c r="B1390" s="44" t="s">
        <v>166</v>
      </c>
      <c r="C1390" s="8" t="s">
        <v>203</v>
      </c>
      <c r="D1390" s="1" t="s">
        <v>227</v>
      </c>
      <c r="E1390" s="115">
        <v>600</v>
      </c>
      <c r="F1390" s="7">
        <f t="shared" si="300"/>
        <v>30</v>
      </c>
      <c r="G1390" s="7">
        <f t="shared" si="300"/>
        <v>0</v>
      </c>
      <c r="H1390" s="36">
        <f t="shared" si="295"/>
        <v>30</v>
      </c>
      <c r="I1390" s="7">
        <f t="shared" si="300"/>
        <v>0</v>
      </c>
      <c r="J1390" s="36">
        <f t="shared" si="291"/>
        <v>30</v>
      </c>
      <c r="K1390" s="7">
        <f t="shared" si="300"/>
        <v>0</v>
      </c>
      <c r="L1390" s="36">
        <f t="shared" si="301"/>
        <v>30</v>
      </c>
      <c r="M1390" s="7">
        <f t="shared" si="300"/>
        <v>0</v>
      </c>
      <c r="N1390" s="36">
        <f t="shared" si="294"/>
        <v>30</v>
      </c>
      <c r="O1390" s="7">
        <f t="shared" si="300"/>
        <v>0</v>
      </c>
      <c r="P1390" s="36">
        <f t="shared" si="292"/>
        <v>30</v>
      </c>
      <c r="Q1390" s="7">
        <f t="shared" si="300"/>
        <v>0</v>
      </c>
      <c r="R1390" s="36">
        <f t="shared" si="289"/>
        <v>30</v>
      </c>
    </row>
    <row r="1391" spans="1:18" ht="12.75">
      <c r="A1391" s="62" t="str">
        <f ca="1">IF(ISERROR(MATCH(E1391,Код_КВР,0)),"",INDIRECT(ADDRESS(MATCH(E1391,Код_КВР,0)+1,2,,,"КВР")))</f>
        <v>Субсидии бюджетным учреждениям</v>
      </c>
      <c r="B1391" s="44" t="s">
        <v>166</v>
      </c>
      <c r="C1391" s="8" t="s">
        <v>203</v>
      </c>
      <c r="D1391" s="1" t="s">
        <v>227</v>
      </c>
      <c r="E1391" s="115">
        <v>610</v>
      </c>
      <c r="F1391" s="7">
        <f t="shared" si="300"/>
        <v>30</v>
      </c>
      <c r="G1391" s="7">
        <f t="shared" si="300"/>
        <v>0</v>
      </c>
      <c r="H1391" s="36">
        <f t="shared" si="295"/>
        <v>30</v>
      </c>
      <c r="I1391" s="7">
        <f t="shared" si="300"/>
        <v>0</v>
      </c>
      <c r="J1391" s="36">
        <f t="shared" si="291"/>
        <v>30</v>
      </c>
      <c r="K1391" s="7">
        <f t="shared" si="300"/>
        <v>0</v>
      </c>
      <c r="L1391" s="36">
        <f t="shared" si="301"/>
        <v>30</v>
      </c>
      <c r="M1391" s="7">
        <f t="shared" si="300"/>
        <v>0</v>
      </c>
      <c r="N1391" s="36">
        <f t="shared" si="294"/>
        <v>30</v>
      </c>
      <c r="O1391" s="7">
        <f t="shared" si="300"/>
        <v>0</v>
      </c>
      <c r="P1391" s="36">
        <f t="shared" si="292"/>
        <v>30</v>
      </c>
      <c r="Q1391" s="7">
        <f t="shared" si="300"/>
        <v>0</v>
      </c>
      <c r="R1391" s="36">
        <f t="shared" si="289"/>
        <v>30</v>
      </c>
    </row>
    <row r="1392" spans="1:18" ht="12.75">
      <c r="A1392" s="62" t="str">
        <f ca="1">IF(ISERROR(MATCH(E1392,Код_КВР,0)),"",INDIRECT(ADDRESS(MATCH(E1392,Код_КВР,0)+1,2,,,"КВР")))</f>
        <v>Субсидии бюджетным учреждениям на иные цели</v>
      </c>
      <c r="B1392" s="44" t="s">
        <v>166</v>
      </c>
      <c r="C1392" s="8" t="s">
        <v>203</v>
      </c>
      <c r="D1392" s="1" t="s">
        <v>227</v>
      </c>
      <c r="E1392" s="115">
        <v>612</v>
      </c>
      <c r="F1392" s="7">
        <f>'прил.5'!G785</f>
        <v>30</v>
      </c>
      <c r="G1392" s="7">
        <f>'прил.5'!H785</f>
        <v>0</v>
      </c>
      <c r="H1392" s="36">
        <f t="shared" si="295"/>
        <v>30</v>
      </c>
      <c r="I1392" s="7">
        <f>'прил.5'!J785</f>
        <v>0</v>
      </c>
      <c r="J1392" s="36">
        <f t="shared" si="291"/>
        <v>30</v>
      </c>
      <c r="K1392" s="7">
        <f>'прил.5'!L785</f>
        <v>0</v>
      </c>
      <c r="L1392" s="36">
        <f t="shared" si="301"/>
        <v>30</v>
      </c>
      <c r="M1392" s="7">
        <f>'прил.5'!N785</f>
        <v>0</v>
      </c>
      <c r="N1392" s="36">
        <f t="shared" si="294"/>
        <v>30</v>
      </c>
      <c r="O1392" s="7">
        <f>'прил.5'!P785</f>
        <v>0</v>
      </c>
      <c r="P1392" s="36">
        <f t="shared" si="292"/>
        <v>30</v>
      </c>
      <c r="Q1392" s="7">
        <f>'прил.5'!R785</f>
        <v>0</v>
      </c>
      <c r="R1392" s="36">
        <f t="shared" si="289"/>
        <v>30</v>
      </c>
    </row>
    <row r="1393" spans="1:18" ht="33">
      <c r="A1393" s="62" t="str">
        <f ca="1" t="shared" si="299"/>
        <v>Непрограммные направления деятельности органов местного самоуправления</v>
      </c>
      <c r="B1393" s="44" t="s">
        <v>307</v>
      </c>
      <c r="C1393" s="8"/>
      <c r="D1393" s="1"/>
      <c r="E1393" s="115"/>
      <c r="F1393" s="7">
        <f>F1394</f>
        <v>648834.4999999999</v>
      </c>
      <c r="G1393" s="7">
        <f>G1394</f>
        <v>-73691.9</v>
      </c>
      <c r="H1393" s="36">
        <f t="shared" si="295"/>
        <v>575142.5999999999</v>
      </c>
      <c r="I1393" s="7">
        <f>I1394</f>
        <v>-1678.800000000002</v>
      </c>
      <c r="J1393" s="36">
        <f t="shared" si="291"/>
        <v>573463.7999999998</v>
      </c>
      <c r="K1393" s="7">
        <f>K1394</f>
        <v>-45776.7</v>
      </c>
      <c r="L1393" s="36">
        <f t="shared" si="301"/>
        <v>527687.0999999999</v>
      </c>
      <c r="M1393" s="7">
        <f>M1394</f>
        <v>-3849.2</v>
      </c>
      <c r="N1393" s="36">
        <f t="shared" si="294"/>
        <v>523837.89999999985</v>
      </c>
      <c r="O1393" s="7">
        <f>O1394</f>
        <v>0</v>
      </c>
      <c r="P1393" s="36">
        <f t="shared" si="292"/>
        <v>523837.89999999985</v>
      </c>
      <c r="Q1393" s="7">
        <f>Q1394</f>
        <v>806.0000000000002</v>
      </c>
      <c r="R1393" s="36">
        <f t="shared" si="289"/>
        <v>524643.8999999999</v>
      </c>
    </row>
    <row r="1394" spans="1:18" ht="33">
      <c r="A1394" s="62" t="str">
        <f ca="1" t="shared" si="299"/>
        <v>Расходы, не включенные в муниципальные программы города Череповца</v>
      </c>
      <c r="B1394" s="44" t="s">
        <v>309</v>
      </c>
      <c r="C1394" s="8"/>
      <c r="D1394" s="1"/>
      <c r="E1394" s="115"/>
      <c r="F1394" s="7">
        <f>F1395+F1503+F1522+F1548+F1534+F1540+F1586+F1594+F1606+F1614+F1622+F1627+F1632+F1644+F1652+F1657+F1662+F1667+F1673</f>
        <v>648834.4999999999</v>
      </c>
      <c r="G1394" s="7">
        <f>G1395+G1503+G1522+G1548+G1534+G1540+G1586+G1594+G1606+G1614+G1622+G1627+G1632+G1644+G1652+G1657+G1662+G1667+G1673</f>
        <v>-73691.9</v>
      </c>
      <c r="H1394" s="36">
        <f t="shared" si="295"/>
        <v>575142.5999999999</v>
      </c>
      <c r="I1394" s="7">
        <f>I1395+I1503+I1522+I1548+I1534+I1540+I1586+I1594+I1606+I1614+I1622+I1627+I1632+I1644+I1652+I1657+I1662+I1667+I1673</f>
        <v>-1678.800000000002</v>
      </c>
      <c r="J1394" s="36">
        <f t="shared" si="291"/>
        <v>573463.7999999998</v>
      </c>
      <c r="K1394" s="7">
        <f>K1395+K1503+K1522+K1548+K1534+K1540+K1586+K1594+K1606+K1614+K1622+K1627+K1632+K1644+K1652+K1657+K1662+K1667+K1673</f>
        <v>-45776.7</v>
      </c>
      <c r="L1394" s="36">
        <f t="shared" si="301"/>
        <v>527687.0999999999</v>
      </c>
      <c r="M1394" s="7">
        <f>M1395+M1503+M1516+M1522+M1548+M1528+M1534+M1540+M1586+M1594+M1606+M1614+M1622+M1627+M1632+M1644+M1652+M1657+M1662+M1667+M1673</f>
        <v>-3849.2</v>
      </c>
      <c r="N1394" s="36">
        <f t="shared" si="294"/>
        <v>523837.89999999985</v>
      </c>
      <c r="O1394" s="7">
        <f>O1395+O1503+O1516+O1522+O1548+O1528+O1534+O1540+O1586+O1594+O1606+O1614+O1622+O1627+O1632+O1644+O1652+O1657+O1662+O1667+O1673</f>
        <v>0</v>
      </c>
      <c r="P1394" s="36">
        <f t="shared" si="292"/>
        <v>523837.89999999985</v>
      </c>
      <c r="Q1394" s="7">
        <f>Q1395+Q1503+Q1516+Q1522+Q1548+Q1528+Q1534+Q1540+Q1586+Q1594+Q1606+Q1614+Q1622+Q1627+Q1632+Q1644+Q1652+Q1657+Q1662+Q1667+Q1673</f>
        <v>806.0000000000002</v>
      </c>
      <c r="R1394" s="36">
        <f t="shared" si="289"/>
        <v>524643.8999999999</v>
      </c>
    </row>
    <row r="1395" spans="1:18" ht="33">
      <c r="A1395" s="62" t="str">
        <f ca="1" t="shared" si="299"/>
        <v>Руководство и управление в сфере установленных функций органов местного самоуправления</v>
      </c>
      <c r="B1395" s="44" t="s">
        <v>311</v>
      </c>
      <c r="C1395" s="8"/>
      <c r="D1395" s="1"/>
      <c r="E1395" s="115"/>
      <c r="F1395" s="7">
        <f>F1396++F1401+F1493+F1498</f>
        <v>342834.4999999999</v>
      </c>
      <c r="G1395" s="7">
        <f>G1396++G1401+G1493+G1498</f>
        <v>0</v>
      </c>
      <c r="H1395" s="36">
        <f t="shared" si="295"/>
        <v>342834.4999999999</v>
      </c>
      <c r="I1395" s="7">
        <f>I1396++I1401+I1493+I1498</f>
        <v>-1048.7</v>
      </c>
      <c r="J1395" s="36">
        <f t="shared" si="291"/>
        <v>341785.7999999999</v>
      </c>
      <c r="K1395" s="7">
        <f>K1396++K1401+K1493+K1498</f>
        <v>0</v>
      </c>
      <c r="L1395" s="36">
        <f t="shared" si="301"/>
        <v>341785.7999999999</v>
      </c>
      <c r="M1395" s="7">
        <f>M1396++M1401+M1493+M1498</f>
        <v>222.5</v>
      </c>
      <c r="N1395" s="36">
        <f t="shared" si="294"/>
        <v>342008.2999999999</v>
      </c>
      <c r="O1395" s="7">
        <f>O1396++O1401+O1493+O1498</f>
        <v>0</v>
      </c>
      <c r="P1395" s="36">
        <f t="shared" si="292"/>
        <v>342008.2999999999</v>
      </c>
      <c r="Q1395" s="7">
        <f>Q1396++Q1401+Q1493+Q1498</f>
        <v>-418.5999999999999</v>
      </c>
      <c r="R1395" s="36">
        <f t="shared" si="289"/>
        <v>341589.6999999999</v>
      </c>
    </row>
    <row r="1396" spans="1:18" ht="12.75">
      <c r="A1396" s="62" t="str">
        <f ca="1" t="shared" si="299"/>
        <v>Глава муниципального образования</v>
      </c>
      <c r="B1396" s="44" t="s">
        <v>313</v>
      </c>
      <c r="C1396" s="8"/>
      <c r="D1396" s="1"/>
      <c r="E1396" s="115"/>
      <c r="F1396" s="7">
        <f aca="true" t="shared" si="302" ref="F1396:Q1399">F1397</f>
        <v>2998</v>
      </c>
      <c r="G1396" s="7">
        <f t="shared" si="302"/>
        <v>0</v>
      </c>
      <c r="H1396" s="36">
        <f t="shared" si="295"/>
        <v>2998</v>
      </c>
      <c r="I1396" s="7">
        <f t="shared" si="302"/>
        <v>0</v>
      </c>
      <c r="J1396" s="36">
        <f t="shared" si="291"/>
        <v>2998</v>
      </c>
      <c r="K1396" s="7">
        <f t="shared" si="302"/>
        <v>0</v>
      </c>
      <c r="L1396" s="36">
        <f t="shared" si="301"/>
        <v>2998</v>
      </c>
      <c r="M1396" s="7">
        <f t="shared" si="302"/>
        <v>0</v>
      </c>
      <c r="N1396" s="36">
        <f t="shared" si="294"/>
        <v>2998</v>
      </c>
      <c r="O1396" s="7">
        <f t="shared" si="302"/>
        <v>0</v>
      </c>
      <c r="P1396" s="36">
        <f t="shared" si="292"/>
        <v>2998</v>
      </c>
      <c r="Q1396" s="7">
        <f t="shared" si="302"/>
        <v>0</v>
      </c>
      <c r="R1396" s="36">
        <f t="shared" si="289"/>
        <v>2998</v>
      </c>
    </row>
    <row r="1397" spans="1:18" ht="12.75">
      <c r="A1397" s="62" t="str">
        <f ca="1">IF(ISERROR(MATCH(C1397,Код_Раздел,0)),"",INDIRECT(ADDRESS(MATCH(C1397,Код_Раздел,0)+1,2,,,"Раздел")))</f>
        <v>Общегосударственные  вопросы</v>
      </c>
      <c r="B1397" s="44" t="s">
        <v>313</v>
      </c>
      <c r="C1397" s="8" t="s">
        <v>221</v>
      </c>
      <c r="D1397" s="1"/>
      <c r="E1397" s="115"/>
      <c r="F1397" s="7">
        <f t="shared" si="302"/>
        <v>2998</v>
      </c>
      <c r="G1397" s="7">
        <f t="shared" si="302"/>
        <v>0</v>
      </c>
      <c r="H1397" s="36">
        <f t="shared" si="295"/>
        <v>2998</v>
      </c>
      <c r="I1397" s="7">
        <f t="shared" si="302"/>
        <v>0</v>
      </c>
      <c r="J1397" s="36">
        <f t="shared" si="291"/>
        <v>2998</v>
      </c>
      <c r="K1397" s="7">
        <f t="shared" si="302"/>
        <v>0</v>
      </c>
      <c r="L1397" s="36">
        <f t="shared" si="301"/>
        <v>2998</v>
      </c>
      <c r="M1397" s="7">
        <f t="shared" si="302"/>
        <v>0</v>
      </c>
      <c r="N1397" s="36">
        <f t="shared" si="294"/>
        <v>2998</v>
      </c>
      <c r="O1397" s="7">
        <f t="shared" si="302"/>
        <v>0</v>
      </c>
      <c r="P1397" s="36">
        <f t="shared" si="292"/>
        <v>2998</v>
      </c>
      <c r="Q1397" s="7">
        <f t="shared" si="302"/>
        <v>0</v>
      </c>
      <c r="R1397" s="36">
        <f t="shared" si="289"/>
        <v>2998</v>
      </c>
    </row>
    <row r="1398" spans="1:18" ht="33">
      <c r="A1398" s="77" t="s">
        <v>241</v>
      </c>
      <c r="B1398" s="44" t="s">
        <v>313</v>
      </c>
      <c r="C1398" s="8" t="s">
        <v>221</v>
      </c>
      <c r="D1398" s="1" t="s">
        <v>222</v>
      </c>
      <c r="E1398" s="115"/>
      <c r="F1398" s="7">
        <f t="shared" si="302"/>
        <v>2998</v>
      </c>
      <c r="G1398" s="7">
        <f t="shared" si="302"/>
        <v>0</v>
      </c>
      <c r="H1398" s="36">
        <f t="shared" si="295"/>
        <v>2998</v>
      </c>
      <c r="I1398" s="7">
        <f t="shared" si="302"/>
        <v>0</v>
      </c>
      <c r="J1398" s="36">
        <f t="shared" si="291"/>
        <v>2998</v>
      </c>
      <c r="K1398" s="7">
        <f t="shared" si="302"/>
        <v>0</v>
      </c>
      <c r="L1398" s="36">
        <f t="shared" si="301"/>
        <v>2998</v>
      </c>
      <c r="M1398" s="7">
        <f t="shared" si="302"/>
        <v>0</v>
      </c>
      <c r="N1398" s="36">
        <f t="shared" si="294"/>
        <v>2998</v>
      </c>
      <c r="O1398" s="7">
        <f t="shared" si="302"/>
        <v>0</v>
      </c>
      <c r="P1398" s="36">
        <f t="shared" si="292"/>
        <v>2998</v>
      </c>
      <c r="Q1398" s="7">
        <f t="shared" si="302"/>
        <v>0</v>
      </c>
      <c r="R1398" s="36">
        <f t="shared" si="289"/>
        <v>2998</v>
      </c>
    </row>
    <row r="1399" spans="1:18" ht="33">
      <c r="A1399" s="62" t="str">
        <f ca="1">IF(ISERROR(MATCH(E1399,Код_КВР,0)),"",INDIRECT(ADDRESS(MATCH(E1399,Код_КВР,0)+1,2,,,"КВР")))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9" s="44" t="s">
        <v>313</v>
      </c>
      <c r="C1399" s="8" t="s">
        <v>221</v>
      </c>
      <c r="D1399" s="8" t="s">
        <v>222</v>
      </c>
      <c r="E1399" s="115">
        <v>100</v>
      </c>
      <c r="F1399" s="7">
        <f t="shared" si="302"/>
        <v>2998</v>
      </c>
      <c r="G1399" s="7">
        <f t="shared" si="302"/>
        <v>0</v>
      </c>
      <c r="H1399" s="36">
        <f t="shared" si="295"/>
        <v>2998</v>
      </c>
      <c r="I1399" s="7">
        <f t="shared" si="302"/>
        <v>0</v>
      </c>
      <c r="J1399" s="36">
        <f t="shared" si="291"/>
        <v>2998</v>
      </c>
      <c r="K1399" s="7">
        <f t="shared" si="302"/>
        <v>0</v>
      </c>
      <c r="L1399" s="36">
        <f t="shared" si="301"/>
        <v>2998</v>
      </c>
      <c r="M1399" s="7">
        <f t="shared" si="302"/>
        <v>0</v>
      </c>
      <c r="N1399" s="36">
        <f t="shared" si="294"/>
        <v>2998</v>
      </c>
      <c r="O1399" s="7">
        <f t="shared" si="302"/>
        <v>0</v>
      </c>
      <c r="P1399" s="36">
        <f t="shared" si="292"/>
        <v>2998</v>
      </c>
      <c r="Q1399" s="7">
        <f t="shared" si="302"/>
        <v>0</v>
      </c>
      <c r="R1399" s="36">
        <f t="shared" si="289"/>
        <v>2998</v>
      </c>
    </row>
    <row r="1400" spans="1:18" ht="12.75">
      <c r="A1400" s="62" t="str">
        <f ca="1">IF(ISERROR(MATCH(E1400,Код_КВР,0)),"",INDIRECT(ADDRESS(MATCH(E1400,Код_КВР,0)+1,2,,,"КВР")))</f>
        <v>Расходы на выплаты персоналу муниципальных органов</v>
      </c>
      <c r="B1400" s="44" t="s">
        <v>313</v>
      </c>
      <c r="C1400" s="8" t="s">
        <v>221</v>
      </c>
      <c r="D1400" s="8" t="s">
        <v>222</v>
      </c>
      <c r="E1400" s="115">
        <v>120</v>
      </c>
      <c r="F1400" s="7">
        <f>'прил.5'!G29</f>
        <v>2998</v>
      </c>
      <c r="G1400" s="7">
        <f>'прил.5'!H29</f>
        <v>0</v>
      </c>
      <c r="H1400" s="36">
        <f t="shared" si="295"/>
        <v>2998</v>
      </c>
      <c r="I1400" s="7">
        <f>'прил.5'!J29</f>
        <v>0</v>
      </c>
      <c r="J1400" s="36">
        <f t="shared" si="291"/>
        <v>2998</v>
      </c>
      <c r="K1400" s="7">
        <f>'прил.5'!L29</f>
        <v>0</v>
      </c>
      <c r="L1400" s="36">
        <f t="shared" si="301"/>
        <v>2998</v>
      </c>
      <c r="M1400" s="7">
        <f>'прил.5'!N29</f>
        <v>0</v>
      </c>
      <c r="N1400" s="36">
        <f t="shared" si="294"/>
        <v>2998</v>
      </c>
      <c r="O1400" s="7">
        <f>'прил.5'!P29</f>
        <v>0</v>
      </c>
      <c r="P1400" s="36">
        <f t="shared" si="292"/>
        <v>2998</v>
      </c>
      <c r="Q1400" s="7">
        <f>'прил.5'!R29</f>
        <v>0</v>
      </c>
      <c r="R1400" s="36">
        <f t="shared" si="289"/>
        <v>2998</v>
      </c>
    </row>
    <row r="1401" spans="1:18" ht="12.75">
      <c r="A1401" s="62" t="str">
        <f ca="1">IF(ISERROR(MATCH(B1401,Код_КЦСР,0)),"",INDIRECT(ADDRESS(MATCH(B1401,Код_КЦСР,0)+1,2,,,"КЦСР")))</f>
        <v>Центральный аппарат</v>
      </c>
      <c r="B1401" s="44" t="s">
        <v>314</v>
      </c>
      <c r="C1401" s="8"/>
      <c r="D1401" s="1"/>
      <c r="E1401" s="115"/>
      <c r="F1401" s="7">
        <f>F1402+F1431+F1442+F1452+F1462+F1469+F1479+F1486</f>
        <v>333928.5999999999</v>
      </c>
      <c r="G1401" s="7">
        <f>G1402+G1431+G1442+G1452+G1462+G1469+G1479+G1486</f>
        <v>0</v>
      </c>
      <c r="H1401" s="36">
        <f t="shared" si="295"/>
        <v>333928.5999999999</v>
      </c>
      <c r="I1401" s="7">
        <f>I1402+I1431+I1442+I1452+I1462+I1469+I1479+I1486</f>
        <v>-1048.7</v>
      </c>
      <c r="J1401" s="36">
        <f t="shared" si="291"/>
        <v>332879.8999999999</v>
      </c>
      <c r="K1401" s="7">
        <f>K1402+K1431+K1442+K1452+K1462+K1469+K1479+K1486</f>
        <v>0</v>
      </c>
      <c r="L1401" s="36">
        <f t="shared" si="301"/>
        <v>332879.8999999999</v>
      </c>
      <c r="M1401" s="7">
        <f>M1402+M1431+M1442+M1452+M1462+M1469+M1479+M1486</f>
        <v>222.5</v>
      </c>
      <c r="N1401" s="36">
        <f t="shared" si="294"/>
        <v>333102.3999999999</v>
      </c>
      <c r="O1401" s="7">
        <f>O1402+O1431+O1442+O1452+O1462+O1469+O1479+O1486</f>
        <v>0</v>
      </c>
      <c r="P1401" s="36">
        <f t="shared" si="292"/>
        <v>333102.3999999999</v>
      </c>
      <c r="Q1401" s="7">
        <f>Q1402+Q1431+Q1442+Q1452+Q1462+Q1469+Q1479+Q1486</f>
        <v>-418.5999999999999</v>
      </c>
      <c r="R1401" s="36">
        <f t="shared" si="289"/>
        <v>332683.79999999993</v>
      </c>
    </row>
    <row r="1402" spans="1:18" ht="12.75">
      <c r="A1402" s="62" t="str">
        <f ca="1">IF(ISERROR(MATCH(C1402,Код_Раздел,0)),"",INDIRECT(ADDRESS(MATCH(C1402,Код_Раздел,0)+1,2,,,"Раздел")))</f>
        <v>Общегосударственные  вопросы</v>
      </c>
      <c r="B1402" s="44" t="s">
        <v>314</v>
      </c>
      <c r="C1402" s="8" t="s">
        <v>221</v>
      </c>
      <c r="D1402" s="1"/>
      <c r="E1402" s="115"/>
      <c r="F1402" s="7">
        <f>F1403+F1413+F1422</f>
        <v>181262.3</v>
      </c>
      <c r="G1402" s="7">
        <f>G1403+G1413+G1422</f>
        <v>0</v>
      </c>
      <c r="H1402" s="36">
        <f t="shared" si="295"/>
        <v>181262.3</v>
      </c>
      <c r="I1402" s="7">
        <f>I1403+I1413+I1422</f>
        <v>-330.5</v>
      </c>
      <c r="J1402" s="36">
        <f t="shared" si="291"/>
        <v>180931.8</v>
      </c>
      <c r="K1402" s="7">
        <f>K1403+K1413+K1422</f>
        <v>0</v>
      </c>
      <c r="L1402" s="36">
        <f t="shared" si="301"/>
        <v>180931.8</v>
      </c>
      <c r="M1402" s="7">
        <f>M1403+M1413+M1422</f>
        <v>222.5</v>
      </c>
      <c r="N1402" s="36">
        <f t="shared" si="294"/>
        <v>181154.3</v>
      </c>
      <c r="O1402" s="7">
        <f>O1403+O1413+O1422</f>
        <v>0</v>
      </c>
      <c r="P1402" s="36">
        <f t="shared" si="292"/>
        <v>181154.3</v>
      </c>
      <c r="Q1402" s="7">
        <f>Q1403+Q1413+Q1422</f>
        <v>795.2</v>
      </c>
      <c r="R1402" s="36">
        <f t="shared" si="289"/>
        <v>181949.5</v>
      </c>
    </row>
    <row r="1403" spans="1:18" ht="49.5">
      <c r="A1403" s="12" t="s">
        <v>176</v>
      </c>
      <c r="B1403" s="44" t="s">
        <v>314</v>
      </c>
      <c r="C1403" s="8" t="s">
        <v>221</v>
      </c>
      <c r="D1403" s="8" t="s">
        <v>223</v>
      </c>
      <c r="E1403" s="115"/>
      <c r="F1403" s="7">
        <f>F1404+F1406+F1409</f>
        <v>22979.500000000004</v>
      </c>
      <c r="G1403" s="7">
        <f>G1404+G1406+G1409</f>
        <v>0</v>
      </c>
      <c r="H1403" s="36">
        <f t="shared" si="295"/>
        <v>22979.500000000004</v>
      </c>
      <c r="I1403" s="7">
        <f>I1404+I1406+I1409</f>
        <v>-8530.4</v>
      </c>
      <c r="J1403" s="36">
        <f t="shared" si="291"/>
        <v>14449.100000000004</v>
      </c>
      <c r="K1403" s="7">
        <f>K1404+K1406+K1409</f>
        <v>0</v>
      </c>
      <c r="L1403" s="36">
        <f t="shared" si="301"/>
        <v>14449.100000000004</v>
      </c>
      <c r="M1403" s="7">
        <f>M1404+M1406+M1409</f>
        <v>0</v>
      </c>
      <c r="N1403" s="36">
        <f t="shared" si="294"/>
        <v>14449.100000000004</v>
      </c>
      <c r="O1403" s="7">
        <f>O1404+O1406+O1409</f>
        <v>0</v>
      </c>
      <c r="P1403" s="36">
        <f t="shared" si="292"/>
        <v>14449.100000000004</v>
      </c>
      <c r="Q1403" s="7">
        <f>Q1404+Q1406+Q1409</f>
        <v>-209.8</v>
      </c>
      <c r="R1403" s="36">
        <f t="shared" si="289"/>
        <v>14239.300000000005</v>
      </c>
    </row>
    <row r="1404" spans="1:18" ht="33">
      <c r="A1404" s="62" t="str">
        <f aca="true" t="shared" si="303" ref="A1404:A1412">IF(ISERROR(MATCH(E1404,Код_КВР,0)),"",INDIRECT(ADDRESS(MATCH(E1404,Код_КВР,0)+1,2,,,"КВР")))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4" s="44" t="s">
        <v>314</v>
      </c>
      <c r="C1404" s="8" t="s">
        <v>221</v>
      </c>
      <c r="D1404" s="8" t="s">
        <v>223</v>
      </c>
      <c r="E1404" s="115">
        <v>100</v>
      </c>
      <c r="F1404" s="7">
        <f>F1405</f>
        <v>21566.300000000003</v>
      </c>
      <c r="G1404" s="7">
        <f>G1405</f>
        <v>0</v>
      </c>
      <c r="H1404" s="36">
        <f t="shared" si="295"/>
        <v>21566.300000000003</v>
      </c>
      <c r="I1404" s="7">
        <f>I1405</f>
        <v>-8140.3</v>
      </c>
      <c r="J1404" s="36">
        <f t="shared" si="291"/>
        <v>13426.000000000004</v>
      </c>
      <c r="K1404" s="7">
        <f>K1405</f>
        <v>0</v>
      </c>
      <c r="L1404" s="36">
        <f t="shared" si="301"/>
        <v>13426.000000000004</v>
      </c>
      <c r="M1404" s="7">
        <f>M1405</f>
        <v>0</v>
      </c>
      <c r="N1404" s="36">
        <f t="shared" si="294"/>
        <v>13426.000000000004</v>
      </c>
      <c r="O1404" s="7">
        <f>O1405</f>
        <v>0</v>
      </c>
      <c r="P1404" s="36">
        <f t="shared" si="292"/>
        <v>13426.000000000004</v>
      </c>
      <c r="Q1404" s="7">
        <f>Q1405</f>
        <v>-209.8</v>
      </c>
      <c r="R1404" s="36">
        <f t="shared" si="289"/>
        <v>13216.200000000004</v>
      </c>
    </row>
    <row r="1405" spans="1:18" ht="12.75">
      <c r="A1405" s="62" t="str">
        <f ca="1" t="shared" si="303"/>
        <v>Расходы на выплаты персоналу муниципальных органов</v>
      </c>
      <c r="B1405" s="44" t="s">
        <v>314</v>
      </c>
      <c r="C1405" s="8" t="s">
        <v>221</v>
      </c>
      <c r="D1405" s="8" t="s">
        <v>223</v>
      </c>
      <c r="E1405" s="115">
        <v>120</v>
      </c>
      <c r="F1405" s="7">
        <f>'прил.5'!G393</f>
        <v>21566.300000000003</v>
      </c>
      <c r="G1405" s="7">
        <f>'прил.5'!H393</f>
        <v>0</v>
      </c>
      <c r="H1405" s="36">
        <f t="shared" si="295"/>
        <v>21566.300000000003</v>
      </c>
      <c r="I1405" s="7">
        <f>'прил.5'!J393</f>
        <v>-8140.3</v>
      </c>
      <c r="J1405" s="36">
        <f t="shared" si="291"/>
        <v>13426.000000000004</v>
      </c>
      <c r="K1405" s="7">
        <f>'прил.5'!L393</f>
        <v>0</v>
      </c>
      <c r="L1405" s="36">
        <f t="shared" si="301"/>
        <v>13426.000000000004</v>
      </c>
      <c r="M1405" s="7">
        <f>'прил.5'!N393</f>
        <v>0</v>
      </c>
      <c r="N1405" s="36">
        <f t="shared" si="294"/>
        <v>13426.000000000004</v>
      </c>
      <c r="O1405" s="7">
        <f>'прил.5'!P393</f>
        <v>0</v>
      </c>
      <c r="P1405" s="36">
        <f t="shared" si="292"/>
        <v>13426.000000000004</v>
      </c>
      <c r="Q1405" s="7">
        <f>'прил.5'!R393</f>
        <v>-209.8</v>
      </c>
      <c r="R1405" s="36">
        <f t="shared" si="289"/>
        <v>13216.200000000004</v>
      </c>
    </row>
    <row r="1406" spans="1:18" ht="12.75">
      <c r="A1406" s="62" t="str">
        <f ca="1" t="shared" si="303"/>
        <v>Закупка товаров, работ и услуг для муниципальных нужд</v>
      </c>
      <c r="B1406" s="44" t="s">
        <v>314</v>
      </c>
      <c r="C1406" s="8" t="s">
        <v>221</v>
      </c>
      <c r="D1406" s="8" t="s">
        <v>223</v>
      </c>
      <c r="E1406" s="115">
        <v>200</v>
      </c>
      <c r="F1406" s="7">
        <f>F1407</f>
        <v>1410.8</v>
      </c>
      <c r="G1406" s="7">
        <f>G1407</f>
        <v>0</v>
      </c>
      <c r="H1406" s="36">
        <f t="shared" si="295"/>
        <v>1410.8</v>
      </c>
      <c r="I1406" s="7">
        <f>I1407</f>
        <v>-390.1</v>
      </c>
      <c r="J1406" s="36">
        <f t="shared" si="291"/>
        <v>1020.6999999999999</v>
      </c>
      <c r="K1406" s="7">
        <f>K1407</f>
        <v>0</v>
      </c>
      <c r="L1406" s="36">
        <f t="shared" si="301"/>
        <v>1020.6999999999999</v>
      </c>
      <c r="M1406" s="7">
        <f>M1407</f>
        <v>0</v>
      </c>
      <c r="N1406" s="36">
        <f t="shared" si="294"/>
        <v>1020.6999999999999</v>
      </c>
      <c r="O1406" s="7">
        <f>O1407</f>
        <v>0</v>
      </c>
      <c r="P1406" s="36">
        <f t="shared" si="292"/>
        <v>1020.6999999999999</v>
      </c>
      <c r="Q1406" s="7">
        <f>Q1407</f>
        <v>0</v>
      </c>
      <c r="R1406" s="36">
        <f t="shared" si="289"/>
        <v>1020.6999999999999</v>
      </c>
    </row>
    <row r="1407" spans="1:18" ht="33">
      <c r="A1407" s="62" t="str">
        <f ca="1" t="shared" si="303"/>
        <v>Иные закупки товаров, работ и услуг для обеспечения муниципальных нужд</v>
      </c>
      <c r="B1407" s="44" t="s">
        <v>314</v>
      </c>
      <c r="C1407" s="8" t="s">
        <v>221</v>
      </c>
      <c r="D1407" s="8" t="s">
        <v>223</v>
      </c>
      <c r="E1407" s="115">
        <v>240</v>
      </c>
      <c r="F1407" s="7">
        <f>F1408</f>
        <v>1410.8</v>
      </c>
      <c r="G1407" s="7">
        <f>G1408</f>
        <v>0</v>
      </c>
      <c r="H1407" s="36">
        <f t="shared" si="295"/>
        <v>1410.8</v>
      </c>
      <c r="I1407" s="7">
        <f>I1408</f>
        <v>-390.1</v>
      </c>
      <c r="J1407" s="36">
        <f t="shared" si="291"/>
        <v>1020.6999999999999</v>
      </c>
      <c r="K1407" s="7">
        <f>K1408</f>
        <v>0</v>
      </c>
      <c r="L1407" s="36">
        <f t="shared" si="301"/>
        <v>1020.6999999999999</v>
      </c>
      <c r="M1407" s="7">
        <f>M1408</f>
        <v>0</v>
      </c>
      <c r="N1407" s="36">
        <f t="shared" si="294"/>
        <v>1020.6999999999999</v>
      </c>
      <c r="O1407" s="7">
        <f>O1408</f>
        <v>0</v>
      </c>
      <c r="P1407" s="36">
        <f t="shared" si="292"/>
        <v>1020.6999999999999</v>
      </c>
      <c r="Q1407" s="7">
        <f>Q1408</f>
        <v>0</v>
      </c>
      <c r="R1407" s="36">
        <f t="shared" si="289"/>
        <v>1020.6999999999999</v>
      </c>
    </row>
    <row r="1408" spans="1:18" ht="33">
      <c r="A1408" s="62" t="str">
        <f ca="1" t="shared" si="303"/>
        <v xml:space="preserve">Прочая закупка товаров, работ и услуг для обеспечения муниципальных нужд         </v>
      </c>
      <c r="B1408" s="44" t="s">
        <v>314</v>
      </c>
      <c r="C1408" s="8" t="s">
        <v>221</v>
      </c>
      <c r="D1408" s="8" t="s">
        <v>223</v>
      </c>
      <c r="E1408" s="115">
        <v>244</v>
      </c>
      <c r="F1408" s="7">
        <f>'прил.5'!G396</f>
        <v>1410.8</v>
      </c>
      <c r="G1408" s="7">
        <f>'прил.5'!H396</f>
        <v>0</v>
      </c>
      <c r="H1408" s="36">
        <f t="shared" si="295"/>
        <v>1410.8</v>
      </c>
      <c r="I1408" s="7">
        <f>'прил.5'!J396</f>
        <v>-390.1</v>
      </c>
      <c r="J1408" s="36">
        <f t="shared" si="291"/>
        <v>1020.6999999999999</v>
      </c>
      <c r="K1408" s="7">
        <f>'прил.5'!L396</f>
        <v>0</v>
      </c>
      <c r="L1408" s="36">
        <f t="shared" si="301"/>
        <v>1020.6999999999999</v>
      </c>
      <c r="M1408" s="7">
        <f>'прил.5'!N396</f>
        <v>0</v>
      </c>
      <c r="N1408" s="36">
        <f t="shared" si="294"/>
        <v>1020.6999999999999</v>
      </c>
      <c r="O1408" s="7">
        <f>'прил.5'!P396</f>
        <v>0</v>
      </c>
      <c r="P1408" s="36">
        <f t="shared" si="292"/>
        <v>1020.6999999999999</v>
      </c>
      <c r="Q1408" s="7">
        <f>'прил.5'!R396</f>
        <v>0</v>
      </c>
      <c r="R1408" s="36">
        <f t="shared" si="289"/>
        <v>1020.6999999999999</v>
      </c>
    </row>
    <row r="1409" spans="1:18" ht="12.75">
      <c r="A1409" s="62" t="str">
        <f ca="1" t="shared" si="303"/>
        <v>Иные бюджетные ассигнования</v>
      </c>
      <c r="B1409" s="44" t="s">
        <v>314</v>
      </c>
      <c r="C1409" s="8" t="s">
        <v>221</v>
      </c>
      <c r="D1409" s="8" t="s">
        <v>223</v>
      </c>
      <c r="E1409" s="115">
        <v>800</v>
      </c>
      <c r="F1409" s="7">
        <f>F1410</f>
        <v>2.4</v>
      </c>
      <c r="G1409" s="7">
        <f>G1410</f>
        <v>0</v>
      </c>
      <c r="H1409" s="36">
        <f t="shared" si="295"/>
        <v>2.4</v>
      </c>
      <c r="I1409" s="7">
        <f>I1410</f>
        <v>0</v>
      </c>
      <c r="J1409" s="36">
        <f t="shared" si="291"/>
        <v>2.4</v>
      </c>
      <c r="K1409" s="7">
        <f>K1410</f>
        <v>0</v>
      </c>
      <c r="L1409" s="36">
        <f t="shared" si="301"/>
        <v>2.4</v>
      </c>
      <c r="M1409" s="7">
        <f>M1410</f>
        <v>0</v>
      </c>
      <c r="N1409" s="36">
        <f t="shared" si="294"/>
        <v>2.4</v>
      </c>
      <c r="O1409" s="7">
        <f>O1410</f>
        <v>0</v>
      </c>
      <c r="P1409" s="36">
        <f t="shared" si="292"/>
        <v>2.4</v>
      </c>
      <c r="Q1409" s="7">
        <f>Q1410</f>
        <v>0</v>
      </c>
      <c r="R1409" s="36">
        <f t="shared" si="289"/>
        <v>2.4</v>
      </c>
    </row>
    <row r="1410" spans="1:18" ht="12.75">
      <c r="A1410" s="62" t="str">
        <f ca="1" t="shared" si="303"/>
        <v>Уплата налогов, сборов и иных платежей</v>
      </c>
      <c r="B1410" s="44" t="s">
        <v>314</v>
      </c>
      <c r="C1410" s="8" t="s">
        <v>221</v>
      </c>
      <c r="D1410" s="8" t="s">
        <v>223</v>
      </c>
      <c r="E1410" s="115">
        <v>850</v>
      </c>
      <c r="F1410" s="7">
        <f>F1412</f>
        <v>2.4</v>
      </c>
      <c r="G1410" s="7">
        <f>G1412</f>
        <v>0</v>
      </c>
      <c r="H1410" s="36">
        <f t="shared" si="295"/>
        <v>2.4</v>
      </c>
      <c r="I1410" s="7">
        <f>I1411+I1412</f>
        <v>0</v>
      </c>
      <c r="J1410" s="36">
        <f t="shared" si="291"/>
        <v>2.4</v>
      </c>
      <c r="K1410" s="7">
        <f>K1411+K1412</f>
        <v>0</v>
      </c>
      <c r="L1410" s="36">
        <f t="shared" si="301"/>
        <v>2.4</v>
      </c>
      <c r="M1410" s="7">
        <f>M1411+M1412</f>
        <v>0</v>
      </c>
      <c r="N1410" s="36">
        <f t="shared" si="294"/>
        <v>2.4</v>
      </c>
      <c r="O1410" s="7">
        <f>O1411+O1412</f>
        <v>0</v>
      </c>
      <c r="P1410" s="36">
        <f t="shared" si="292"/>
        <v>2.4</v>
      </c>
      <c r="Q1410" s="7">
        <f>Q1411+Q1412</f>
        <v>0</v>
      </c>
      <c r="R1410" s="36">
        <f t="shared" si="289"/>
        <v>2.4</v>
      </c>
    </row>
    <row r="1411" spans="1:18" ht="12.75">
      <c r="A1411" s="62" t="str">
        <f aca="true" t="shared" si="304" ref="A1411">IF(ISERROR(MATCH(E1411,Код_КВР,0)),"",INDIRECT(ADDRESS(MATCH(E1411,Код_КВР,0)+1,2,,,"КВР")))</f>
        <v>Уплата налога на имущество организаций и земельного налога</v>
      </c>
      <c r="B1411" s="44" t="s">
        <v>314</v>
      </c>
      <c r="C1411" s="8" t="s">
        <v>221</v>
      </c>
      <c r="D1411" s="8" t="s">
        <v>223</v>
      </c>
      <c r="E1411" s="115">
        <v>851</v>
      </c>
      <c r="F1411" s="7"/>
      <c r="G1411" s="7"/>
      <c r="H1411" s="36"/>
      <c r="I1411" s="7">
        <f>'прил.5'!J399</f>
        <v>2.4</v>
      </c>
      <c r="J1411" s="36">
        <f t="shared" si="291"/>
        <v>2.4</v>
      </c>
      <c r="K1411" s="7">
        <f>'прил.5'!L399</f>
        <v>0</v>
      </c>
      <c r="L1411" s="36">
        <f t="shared" si="301"/>
        <v>2.4</v>
      </c>
      <c r="M1411" s="7">
        <f>'прил.5'!N399</f>
        <v>0</v>
      </c>
      <c r="N1411" s="36">
        <f t="shared" si="294"/>
        <v>2.4</v>
      </c>
      <c r="O1411" s="7">
        <f>'прил.5'!P399</f>
        <v>0</v>
      </c>
      <c r="P1411" s="36">
        <f t="shared" si="292"/>
        <v>2.4</v>
      </c>
      <c r="Q1411" s="7">
        <f>'прил.5'!R399</f>
        <v>0</v>
      </c>
      <c r="R1411" s="36">
        <f t="shared" si="289"/>
        <v>2.4</v>
      </c>
    </row>
    <row r="1412" spans="1:18" ht="12.75" hidden="1">
      <c r="A1412" s="62" t="str">
        <f ca="1" t="shared" si="303"/>
        <v>Уплата прочих налогов, сборов и иных платежей</v>
      </c>
      <c r="B1412" s="44" t="s">
        <v>314</v>
      </c>
      <c r="C1412" s="8" t="s">
        <v>221</v>
      </c>
      <c r="D1412" s="8" t="s">
        <v>223</v>
      </c>
      <c r="E1412" s="115">
        <v>852</v>
      </c>
      <c r="F1412" s="7">
        <f>'прил.5'!G400</f>
        <v>2.4</v>
      </c>
      <c r="G1412" s="7">
        <f>'прил.5'!H400</f>
        <v>0</v>
      </c>
      <c r="H1412" s="36">
        <f t="shared" si="295"/>
        <v>2.4</v>
      </c>
      <c r="I1412" s="7">
        <f>'прил.5'!J400</f>
        <v>-2.4</v>
      </c>
      <c r="J1412" s="36">
        <f t="shared" si="291"/>
        <v>0</v>
      </c>
      <c r="K1412" s="7">
        <f>'прил.5'!L400</f>
        <v>0</v>
      </c>
      <c r="L1412" s="36">
        <f t="shared" si="301"/>
        <v>0</v>
      </c>
      <c r="M1412" s="7">
        <f>'прил.5'!N400</f>
        <v>0</v>
      </c>
      <c r="N1412" s="36">
        <f t="shared" si="294"/>
        <v>0</v>
      </c>
      <c r="O1412" s="7">
        <f>'прил.5'!P400</f>
        <v>0</v>
      </c>
      <c r="P1412" s="36">
        <f t="shared" si="292"/>
        <v>0</v>
      </c>
      <c r="Q1412" s="7">
        <f>'прил.5'!R400</f>
        <v>0</v>
      </c>
      <c r="R1412" s="36">
        <f t="shared" si="289"/>
        <v>0</v>
      </c>
    </row>
    <row r="1413" spans="1:18" ht="49.5">
      <c r="A1413" s="104" t="s">
        <v>243</v>
      </c>
      <c r="B1413" s="98" t="s">
        <v>314</v>
      </c>
      <c r="C1413" s="99" t="s">
        <v>221</v>
      </c>
      <c r="D1413" s="99" t="s">
        <v>224</v>
      </c>
      <c r="E1413" s="96"/>
      <c r="F1413" s="101">
        <f>F1414+F1416+F1419</f>
        <v>124245.5</v>
      </c>
      <c r="G1413" s="101">
        <f>G1414+G1416+G1419</f>
        <v>0</v>
      </c>
      <c r="H1413" s="102">
        <f t="shared" si="295"/>
        <v>124245.5</v>
      </c>
      <c r="I1413" s="101">
        <f>I1414+I1416+I1419</f>
        <v>0</v>
      </c>
      <c r="J1413" s="102">
        <f t="shared" si="291"/>
        <v>124245.5</v>
      </c>
      <c r="K1413" s="101">
        <f>K1414+K1416+K1419</f>
        <v>0</v>
      </c>
      <c r="L1413" s="102">
        <f t="shared" si="301"/>
        <v>124245.5</v>
      </c>
      <c r="M1413" s="101">
        <f>M1414+M1416+M1419</f>
        <v>222.5</v>
      </c>
      <c r="N1413" s="102">
        <f t="shared" si="294"/>
        <v>124468</v>
      </c>
      <c r="O1413" s="101">
        <f>O1414+O1416+O1419</f>
        <v>0</v>
      </c>
      <c r="P1413" s="36">
        <f t="shared" si="292"/>
        <v>124468</v>
      </c>
      <c r="Q1413" s="101">
        <f>Q1414+Q1416+Q1419</f>
        <v>885.8</v>
      </c>
      <c r="R1413" s="36">
        <f t="shared" si="289"/>
        <v>125353.8</v>
      </c>
    </row>
    <row r="1414" spans="1:18" ht="33">
      <c r="A1414" s="97" t="str">
        <f aca="true" t="shared" si="305" ref="A1414:A1421">IF(ISERROR(MATCH(E1414,Код_КВР,0)),"",INDIRECT(ADDRESS(MATCH(E1414,Код_КВР,0)+1,2,,,"КВР")))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14" s="98" t="s">
        <v>314</v>
      </c>
      <c r="C1414" s="99" t="s">
        <v>221</v>
      </c>
      <c r="D1414" s="99" t="s">
        <v>224</v>
      </c>
      <c r="E1414" s="96">
        <v>100</v>
      </c>
      <c r="F1414" s="101">
        <f>F1415</f>
        <v>120035.7</v>
      </c>
      <c r="G1414" s="101">
        <f>G1415</f>
        <v>0</v>
      </c>
      <c r="H1414" s="102">
        <f t="shared" si="295"/>
        <v>120035.7</v>
      </c>
      <c r="I1414" s="101">
        <f>I1415</f>
        <v>0</v>
      </c>
      <c r="J1414" s="102">
        <f t="shared" si="291"/>
        <v>120035.7</v>
      </c>
      <c r="K1414" s="101">
        <f>K1415</f>
        <v>0</v>
      </c>
      <c r="L1414" s="102">
        <f t="shared" si="301"/>
        <v>120035.7</v>
      </c>
      <c r="M1414" s="101">
        <f>M1415</f>
        <v>-0.5</v>
      </c>
      <c r="N1414" s="102">
        <f t="shared" si="294"/>
        <v>120035.2</v>
      </c>
      <c r="O1414" s="101">
        <f>O1415</f>
        <v>0</v>
      </c>
      <c r="P1414" s="36">
        <f t="shared" si="292"/>
        <v>120035.2</v>
      </c>
      <c r="Q1414" s="101">
        <f>Q1415</f>
        <v>900</v>
      </c>
      <c r="R1414" s="36">
        <f t="shared" si="289"/>
        <v>120935.2</v>
      </c>
    </row>
    <row r="1415" spans="1:18" ht="12.75">
      <c r="A1415" s="97" t="str">
        <f ca="1" t="shared" si="305"/>
        <v>Расходы на выплаты персоналу муниципальных органов</v>
      </c>
      <c r="B1415" s="98" t="s">
        <v>314</v>
      </c>
      <c r="C1415" s="99" t="s">
        <v>221</v>
      </c>
      <c r="D1415" s="99" t="s">
        <v>224</v>
      </c>
      <c r="E1415" s="96">
        <v>120</v>
      </c>
      <c r="F1415" s="101">
        <f>'прил.5'!G36</f>
        <v>120035.7</v>
      </c>
      <c r="G1415" s="101">
        <f>'прил.5'!H36</f>
        <v>0</v>
      </c>
      <c r="H1415" s="102">
        <f t="shared" si="295"/>
        <v>120035.7</v>
      </c>
      <c r="I1415" s="101">
        <f>'прил.5'!J36</f>
        <v>0</v>
      </c>
      <c r="J1415" s="102">
        <f t="shared" si="291"/>
        <v>120035.7</v>
      </c>
      <c r="K1415" s="101">
        <f>'прил.5'!L36</f>
        <v>0</v>
      </c>
      <c r="L1415" s="102">
        <f t="shared" si="301"/>
        <v>120035.7</v>
      </c>
      <c r="M1415" s="101">
        <f>'прил.5'!N36</f>
        <v>-0.5</v>
      </c>
      <c r="N1415" s="102">
        <f t="shared" si="294"/>
        <v>120035.2</v>
      </c>
      <c r="O1415" s="101">
        <f>'прил.5'!P36</f>
        <v>0</v>
      </c>
      <c r="P1415" s="36">
        <f t="shared" si="292"/>
        <v>120035.2</v>
      </c>
      <c r="Q1415" s="101">
        <f>'прил.5'!R36</f>
        <v>900</v>
      </c>
      <c r="R1415" s="36">
        <f aca="true" t="shared" si="306" ref="R1415:R1478">P1415+Q1415</f>
        <v>120935.2</v>
      </c>
    </row>
    <row r="1416" spans="1:18" ht="12.75">
      <c r="A1416" s="62" t="str">
        <f ca="1" t="shared" si="305"/>
        <v>Закупка товаров, работ и услуг для муниципальных нужд</v>
      </c>
      <c r="B1416" s="44" t="s">
        <v>314</v>
      </c>
      <c r="C1416" s="8" t="s">
        <v>221</v>
      </c>
      <c r="D1416" s="8" t="s">
        <v>224</v>
      </c>
      <c r="E1416" s="115">
        <v>200</v>
      </c>
      <c r="F1416" s="7">
        <f>F1417</f>
        <v>4207.8</v>
      </c>
      <c r="G1416" s="7">
        <f>G1417</f>
        <v>0</v>
      </c>
      <c r="H1416" s="36">
        <f t="shared" si="295"/>
        <v>4207.8</v>
      </c>
      <c r="I1416" s="7">
        <f>I1417</f>
        <v>0</v>
      </c>
      <c r="J1416" s="36">
        <f t="shared" si="291"/>
        <v>4207.8</v>
      </c>
      <c r="K1416" s="7">
        <f>K1417</f>
        <v>0</v>
      </c>
      <c r="L1416" s="36">
        <f t="shared" si="301"/>
        <v>4207.8</v>
      </c>
      <c r="M1416" s="7">
        <f>M1417</f>
        <v>223</v>
      </c>
      <c r="N1416" s="36">
        <f t="shared" si="294"/>
        <v>4430.8</v>
      </c>
      <c r="O1416" s="7">
        <f>O1417</f>
        <v>0</v>
      </c>
      <c r="P1416" s="36">
        <f t="shared" si="292"/>
        <v>4430.8</v>
      </c>
      <c r="Q1416" s="7">
        <f>Q1417</f>
        <v>-14.2</v>
      </c>
      <c r="R1416" s="36">
        <f t="shared" si="306"/>
        <v>4416.6</v>
      </c>
    </row>
    <row r="1417" spans="1:18" ht="33">
      <c r="A1417" s="62" t="str">
        <f ca="1" t="shared" si="305"/>
        <v>Иные закупки товаров, работ и услуг для обеспечения муниципальных нужд</v>
      </c>
      <c r="B1417" s="44" t="s">
        <v>314</v>
      </c>
      <c r="C1417" s="8" t="s">
        <v>221</v>
      </c>
      <c r="D1417" s="8" t="s">
        <v>224</v>
      </c>
      <c r="E1417" s="115">
        <v>240</v>
      </c>
      <c r="F1417" s="7">
        <f>F1418</f>
        <v>4207.8</v>
      </c>
      <c r="G1417" s="7">
        <f>G1418</f>
        <v>0</v>
      </c>
      <c r="H1417" s="36">
        <f t="shared" si="295"/>
        <v>4207.8</v>
      </c>
      <c r="I1417" s="7">
        <f>I1418</f>
        <v>0</v>
      </c>
      <c r="J1417" s="36">
        <f t="shared" si="291"/>
        <v>4207.8</v>
      </c>
      <c r="K1417" s="7">
        <f>K1418</f>
        <v>0</v>
      </c>
      <c r="L1417" s="36">
        <f t="shared" si="301"/>
        <v>4207.8</v>
      </c>
      <c r="M1417" s="7">
        <f>M1418</f>
        <v>223</v>
      </c>
      <c r="N1417" s="36">
        <f t="shared" si="294"/>
        <v>4430.8</v>
      </c>
      <c r="O1417" s="7">
        <f>O1418</f>
        <v>0</v>
      </c>
      <c r="P1417" s="36">
        <f t="shared" si="292"/>
        <v>4430.8</v>
      </c>
      <c r="Q1417" s="7">
        <f>Q1418</f>
        <v>-14.2</v>
      </c>
      <c r="R1417" s="36">
        <f t="shared" si="306"/>
        <v>4416.6</v>
      </c>
    </row>
    <row r="1418" spans="1:18" ht="33">
      <c r="A1418" s="62" t="str">
        <f ca="1" t="shared" si="305"/>
        <v xml:space="preserve">Прочая закупка товаров, работ и услуг для обеспечения муниципальных нужд         </v>
      </c>
      <c r="B1418" s="44" t="s">
        <v>314</v>
      </c>
      <c r="C1418" s="8" t="s">
        <v>221</v>
      </c>
      <c r="D1418" s="8" t="s">
        <v>224</v>
      </c>
      <c r="E1418" s="115">
        <v>244</v>
      </c>
      <c r="F1418" s="7">
        <f>'прил.5'!G39</f>
        <v>4207.8</v>
      </c>
      <c r="G1418" s="7">
        <f>'прил.5'!H39</f>
        <v>0</v>
      </c>
      <c r="H1418" s="36">
        <f t="shared" si="295"/>
        <v>4207.8</v>
      </c>
      <c r="I1418" s="7">
        <f>'прил.5'!J39</f>
        <v>0</v>
      </c>
      <c r="J1418" s="36">
        <f t="shared" si="291"/>
        <v>4207.8</v>
      </c>
      <c r="K1418" s="7">
        <f>'прил.5'!L39</f>
        <v>0</v>
      </c>
      <c r="L1418" s="36">
        <f t="shared" si="301"/>
        <v>4207.8</v>
      </c>
      <c r="M1418" s="7">
        <f>'прил.5'!N39</f>
        <v>223</v>
      </c>
      <c r="N1418" s="36">
        <f t="shared" si="294"/>
        <v>4430.8</v>
      </c>
      <c r="O1418" s="7">
        <f>'прил.5'!P39</f>
        <v>0</v>
      </c>
      <c r="P1418" s="36">
        <f t="shared" si="292"/>
        <v>4430.8</v>
      </c>
      <c r="Q1418" s="7">
        <f>'прил.5'!R39</f>
        <v>-14.2</v>
      </c>
      <c r="R1418" s="36">
        <f t="shared" si="306"/>
        <v>4416.6</v>
      </c>
    </row>
    <row r="1419" spans="1:18" ht="12.75">
      <c r="A1419" s="97" t="str">
        <f ca="1" t="shared" si="305"/>
        <v>Иные бюджетные ассигнования</v>
      </c>
      <c r="B1419" s="98" t="s">
        <v>314</v>
      </c>
      <c r="C1419" s="99" t="s">
        <v>221</v>
      </c>
      <c r="D1419" s="99" t="s">
        <v>224</v>
      </c>
      <c r="E1419" s="96">
        <v>800</v>
      </c>
      <c r="F1419" s="101">
        <f>F1420</f>
        <v>2</v>
      </c>
      <c r="G1419" s="101">
        <f>G1420</f>
        <v>0</v>
      </c>
      <c r="H1419" s="102">
        <f t="shared" si="295"/>
        <v>2</v>
      </c>
      <c r="I1419" s="101">
        <f>I1420</f>
        <v>0</v>
      </c>
      <c r="J1419" s="102">
        <f t="shared" si="291"/>
        <v>2</v>
      </c>
      <c r="K1419" s="101">
        <f>K1420</f>
        <v>0</v>
      </c>
      <c r="L1419" s="102">
        <f t="shared" si="301"/>
        <v>2</v>
      </c>
      <c r="M1419" s="101">
        <f>M1420</f>
        <v>0</v>
      </c>
      <c r="N1419" s="102">
        <f t="shared" si="294"/>
        <v>2</v>
      </c>
      <c r="O1419" s="101">
        <f>O1420</f>
        <v>0</v>
      </c>
      <c r="P1419" s="36">
        <f t="shared" si="292"/>
        <v>2</v>
      </c>
      <c r="Q1419" s="101">
        <f>Q1420</f>
        <v>0</v>
      </c>
      <c r="R1419" s="36">
        <f t="shared" si="306"/>
        <v>2</v>
      </c>
    </row>
    <row r="1420" spans="1:18" ht="12.75">
      <c r="A1420" s="97" t="str">
        <f ca="1" t="shared" si="305"/>
        <v>Уплата налогов, сборов и иных платежей</v>
      </c>
      <c r="B1420" s="98" t="s">
        <v>314</v>
      </c>
      <c r="C1420" s="99" t="s">
        <v>221</v>
      </c>
      <c r="D1420" s="99" t="s">
        <v>224</v>
      </c>
      <c r="E1420" s="96">
        <v>850</v>
      </c>
      <c r="F1420" s="101">
        <f>F1421</f>
        <v>2</v>
      </c>
      <c r="G1420" s="101">
        <f>G1421</f>
        <v>0</v>
      </c>
      <c r="H1420" s="102">
        <f t="shared" si="295"/>
        <v>2</v>
      </c>
      <c r="I1420" s="101">
        <f>I1421</f>
        <v>0</v>
      </c>
      <c r="J1420" s="102">
        <f t="shared" si="291"/>
        <v>2</v>
      </c>
      <c r="K1420" s="101">
        <f>K1421</f>
        <v>0</v>
      </c>
      <c r="L1420" s="102">
        <f t="shared" si="301"/>
        <v>2</v>
      </c>
      <c r="M1420" s="101">
        <f>M1421</f>
        <v>0</v>
      </c>
      <c r="N1420" s="102">
        <f t="shared" si="294"/>
        <v>2</v>
      </c>
      <c r="O1420" s="101">
        <f>O1421</f>
        <v>0</v>
      </c>
      <c r="P1420" s="36">
        <f t="shared" si="292"/>
        <v>2</v>
      </c>
      <c r="Q1420" s="101">
        <f>Q1421</f>
        <v>0</v>
      </c>
      <c r="R1420" s="36">
        <f t="shared" si="306"/>
        <v>2</v>
      </c>
    </row>
    <row r="1421" spans="1:18" ht="12.75">
      <c r="A1421" s="62" t="str">
        <f ca="1" t="shared" si="305"/>
        <v>Уплата прочих налогов, сборов и иных платежей</v>
      </c>
      <c r="B1421" s="44" t="s">
        <v>314</v>
      </c>
      <c r="C1421" s="8" t="s">
        <v>221</v>
      </c>
      <c r="D1421" s="8" t="s">
        <v>224</v>
      </c>
      <c r="E1421" s="115">
        <v>852</v>
      </c>
      <c r="F1421" s="7">
        <f>'прил.5'!G42</f>
        <v>2</v>
      </c>
      <c r="G1421" s="7">
        <f>'прил.5'!H42</f>
        <v>0</v>
      </c>
      <c r="H1421" s="36">
        <f t="shared" si="295"/>
        <v>2</v>
      </c>
      <c r="I1421" s="7">
        <f>'прил.5'!J42</f>
        <v>0</v>
      </c>
      <c r="J1421" s="36">
        <f t="shared" si="291"/>
        <v>2</v>
      </c>
      <c r="K1421" s="7">
        <f>'прил.5'!L42</f>
        <v>0</v>
      </c>
      <c r="L1421" s="36">
        <f t="shared" si="301"/>
        <v>2</v>
      </c>
      <c r="M1421" s="7">
        <f>'прил.5'!N42</f>
        <v>0</v>
      </c>
      <c r="N1421" s="36">
        <f t="shared" si="294"/>
        <v>2</v>
      </c>
      <c r="O1421" s="7">
        <f>'прил.5'!P42</f>
        <v>0</v>
      </c>
      <c r="P1421" s="36">
        <f t="shared" si="292"/>
        <v>2</v>
      </c>
      <c r="Q1421" s="7">
        <f>'прил.5'!R42</f>
        <v>0</v>
      </c>
      <c r="R1421" s="36">
        <f t="shared" si="306"/>
        <v>2</v>
      </c>
    </row>
    <row r="1422" spans="1:18" ht="37.5" customHeight="1">
      <c r="A1422" s="12" t="s">
        <v>173</v>
      </c>
      <c r="B1422" s="44" t="s">
        <v>314</v>
      </c>
      <c r="C1422" s="8" t="s">
        <v>221</v>
      </c>
      <c r="D1422" s="8" t="s">
        <v>225</v>
      </c>
      <c r="E1422" s="115"/>
      <c r="F1422" s="7">
        <f>F1423+F1425+F1428</f>
        <v>34037.299999999996</v>
      </c>
      <c r="G1422" s="7">
        <f>G1423+G1425+G1428</f>
        <v>0</v>
      </c>
      <c r="H1422" s="36">
        <f t="shared" si="295"/>
        <v>34037.299999999996</v>
      </c>
      <c r="I1422" s="7">
        <f>I1423+I1425+I1428</f>
        <v>8199.9</v>
      </c>
      <c r="J1422" s="36">
        <f t="shared" si="291"/>
        <v>42237.2</v>
      </c>
      <c r="K1422" s="7">
        <f>K1423+K1425+K1428</f>
        <v>0</v>
      </c>
      <c r="L1422" s="36">
        <f t="shared" si="301"/>
        <v>42237.2</v>
      </c>
      <c r="M1422" s="7">
        <f>M1423+M1425+M1428</f>
        <v>0</v>
      </c>
      <c r="N1422" s="36">
        <f t="shared" si="294"/>
        <v>42237.2</v>
      </c>
      <c r="O1422" s="7">
        <f>O1423+O1425+O1428</f>
        <v>0</v>
      </c>
      <c r="P1422" s="36">
        <f t="shared" si="292"/>
        <v>42237.2</v>
      </c>
      <c r="Q1422" s="7">
        <f>Q1423+Q1425+Q1428</f>
        <v>119.2</v>
      </c>
      <c r="R1422" s="36">
        <f t="shared" si="306"/>
        <v>42356.399999999994</v>
      </c>
    </row>
    <row r="1423" spans="1:18" ht="33">
      <c r="A1423" s="62" t="str">
        <f aca="true" t="shared" si="307" ref="A1423:A1430">IF(ISERROR(MATCH(E1423,Код_КВР,0)),"",INDIRECT(ADDRESS(MATCH(E1423,Код_КВР,0)+1,2,,,"КВР")))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23" s="44" t="s">
        <v>314</v>
      </c>
      <c r="C1423" s="8" t="s">
        <v>221</v>
      </c>
      <c r="D1423" s="8" t="s">
        <v>225</v>
      </c>
      <c r="E1423" s="115">
        <v>100</v>
      </c>
      <c r="F1423" s="7">
        <f>F1424</f>
        <v>33963.1</v>
      </c>
      <c r="G1423" s="7">
        <f>G1424</f>
        <v>0</v>
      </c>
      <c r="H1423" s="36">
        <f t="shared" si="295"/>
        <v>33963.1</v>
      </c>
      <c r="I1423" s="7">
        <f>I1424</f>
        <v>8130.3</v>
      </c>
      <c r="J1423" s="36">
        <f t="shared" si="291"/>
        <v>42093.4</v>
      </c>
      <c r="K1423" s="7">
        <f>K1424</f>
        <v>0</v>
      </c>
      <c r="L1423" s="36">
        <f t="shared" si="301"/>
        <v>42093.4</v>
      </c>
      <c r="M1423" s="7">
        <f>M1424</f>
        <v>0</v>
      </c>
      <c r="N1423" s="36">
        <f t="shared" si="294"/>
        <v>42093.4</v>
      </c>
      <c r="O1423" s="7">
        <f>O1424</f>
        <v>0</v>
      </c>
      <c r="P1423" s="36">
        <f aca="true" t="shared" si="308" ref="P1423:P1487">N1423+O1423</f>
        <v>42093.4</v>
      </c>
      <c r="Q1423" s="7">
        <f>Q1424</f>
        <v>119.2</v>
      </c>
      <c r="R1423" s="36">
        <f t="shared" si="306"/>
        <v>42212.6</v>
      </c>
    </row>
    <row r="1424" spans="1:18" ht="12.75">
      <c r="A1424" s="62" t="str">
        <f ca="1" t="shared" si="307"/>
        <v>Расходы на выплаты персоналу муниципальных органов</v>
      </c>
      <c r="B1424" s="44" t="s">
        <v>314</v>
      </c>
      <c r="C1424" s="8" t="s">
        <v>221</v>
      </c>
      <c r="D1424" s="8" t="s">
        <v>225</v>
      </c>
      <c r="E1424" s="115">
        <v>120</v>
      </c>
      <c r="F1424" s="7">
        <f>'прил.5'!G851</f>
        <v>33963.1</v>
      </c>
      <c r="G1424" s="7">
        <f>'прил.5'!H851</f>
        <v>0</v>
      </c>
      <c r="H1424" s="36">
        <f t="shared" si="295"/>
        <v>33963.1</v>
      </c>
      <c r="I1424" s="7">
        <f>'прил.5'!J851+'прил.5'!J1597</f>
        <v>8130.3</v>
      </c>
      <c r="J1424" s="36">
        <f aca="true" t="shared" si="309" ref="J1424:J1488">H1424+I1424</f>
        <v>42093.4</v>
      </c>
      <c r="K1424" s="7">
        <f>'прил.5'!L851+'прил.5'!L1597</f>
        <v>0</v>
      </c>
      <c r="L1424" s="36">
        <f t="shared" si="301"/>
        <v>42093.4</v>
      </c>
      <c r="M1424" s="7">
        <f>'прил.5'!N851+'прил.5'!N1597</f>
        <v>0</v>
      </c>
      <c r="N1424" s="36">
        <f t="shared" si="294"/>
        <v>42093.4</v>
      </c>
      <c r="O1424" s="7">
        <f>'прил.5'!P851+'прил.5'!P1597</f>
        <v>0</v>
      </c>
      <c r="P1424" s="36">
        <f t="shared" si="308"/>
        <v>42093.4</v>
      </c>
      <c r="Q1424" s="7">
        <f>'прил.5'!R851+'прил.5'!R1597</f>
        <v>119.2</v>
      </c>
      <c r="R1424" s="36">
        <f t="shared" si="306"/>
        <v>42212.6</v>
      </c>
    </row>
    <row r="1425" spans="1:18" ht="12.75">
      <c r="A1425" s="62" t="str">
        <f ca="1" t="shared" si="307"/>
        <v>Закупка товаров, работ и услуг для муниципальных нужд</v>
      </c>
      <c r="B1425" s="44" t="s">
        <v>314</v>
      </c>
      <c r="C1425" s="8" t="s">
        <v>221</v>
      </c>
      <c r="D1425" s="8" t="s">
        <v>225</v>
      </c>
      <c r="E1425" s="115">
        <v>200</v>
      </c>
      <c r="F1425" s="7">
        <f>F1426</f>
        <v>72.7</v>
      </c>
      <c r="G1425" s="7">
        <f>G1426</f>
        <v>0</v>
      </c>
      <c r="H1425" s="36">
        <f t="shared" si="295"/>
        <v>72.7</v>
      </c>
      <c r="I1425" s="7">
        <f>I1426</f>
        <v>66.6</v>
      </c>
      <c r="J1425" s="36">
        <f t="shared" si="309"/>
        <v>139.3</v>
      </c>
      <c r="K1425" s="7">
        <f>K1426</f>
        <v>0</v>
      </c>
      <c r="L1425" s="36">
        <f t="shared" si="301"/>
        <v>139.3</v>
      </c>
      <c r="M1425" s="7">
        <f>M1426</f>
        <v>0</v>
      </c>
      <c r="N1425" s="36">
        <f t="shared" si="294"/>
        <v>139.3</v>
      </c>
      <c r="O1425" s="7">
        <f>O1426</f>
        <v>0</v>
      </c>
      <c r="P1425" s="36">
        <f t="shared" si="308"/>
        <v>139.3</v>
      </c>
      <c r="Q1425" s="7">
        <f>Q1426</f>
        <v>0</v>
      </c>
      <c r="R1425" s="36">
        <f t="shared" si="306"/>
        <v>139.3</v>
      </c>
    </row>
    <row r="1426" spans="1:18" ht="33">
      <c r="A1426" s="62" t="str">
        <f ca="1" t="shared" si="307"/>
        <v>Иные закупки товаров, работ и услуг для обеспечения муниципальных нужд</v>
      </c>
      <c r="B1426" s="44" t="s">
        <v>314</v>
      </c>
      <c r="C1426" s="8" t="s">
        <v>221</v>
      </c>
      <c r="D1426" s="8" t="s">
        <v>225</v>
      </c>
      <c r="E1426" s="115">
        <v>240</v>
      </c>
      <c r="F1426" s="7">
        <f>F1427</f>
        <v>72.7</v>
      </c>
      <c r="G1426" s="7">
        <f>G1427</f>
        <v>0</v>
      </c>
      <c r="H1426" s="36">
        <f t="shared" si="295"/>
        <v>72.7</v>
      </c>
      <c r="I1426" s="7">
        <f>I1427</f>
        <v>66.6</v>
      </c>
      <c r="J1426" s="36">
        <f t="shared" si="309"/>
        <v>139.3</v>
      </c>
      <c r="K1426" s="7">
        <f>K1427</f>
        <v>0</v>
      </c>
      <c r="L1426" s="36">
        <f t="shared" si="301"/>
        <v>139.3</v>
      </c>
      <c r="M1426" s="7">
        <f>M1427</f>
        <v>0</v>
      </c>
      <c r="N1426" s="36">
        <f aca="true" t="shared" si="310" ref="N1426:N1490">L1426+M1426</f>
        <v>139.3</v>
      </c>
      <c r="O1426" s="7">
        <f>O1427</f>
        <v>0</v>
      </c>
      <c r="P1426" s="36">
        <f t="shared" si="308"/>
        <v>139.3</v>
      </c>
      <c r="Q1426" s="7">
        <f>Q1427</f>
        <v>0</v>
      </c>
      <c r="R1426" s="36">
        <f t="shared" si="306"/>
        <v>139.3</v>
      </c>
    </row>
    <row r="1427" spans="1:18" ht="33">
      <c r="A1427" s="62" t="str">
        <f ca="1" t="shared" si="307"/>
        <v xml:space="preserve">Прочая закупка товаров, работ и услуг для обеспечения муниципальных нужд         </v>
      </c>
      <c r="B1427" s="44" t="s">
        <v>314</v>
      </c>
      <c r="C1427" s="8" t="s">
        <v>221</v>
      </c>
      <c r="D1427" s="8" t="s">
        <v>225</v>
      </c>
      <c r="E1427" s="115">
        <v>244</v>
      </c>
      <c r="F1427" s="7">
        <f>'прил.5'!G854</f>
        <v>72.7</v>
      </c>
      <c r="G1427" s="7">
        <f>'прил.5'!H854</f>
        <v>0</v>
      </c>
      <c r="H1427" s="36">
        <f t="shared" si="295"/>
        <v>72.7</v>
      </c>
      <c r="I1427" s="7">
        <f>'прил.5'!J1600</f>
        <v>66.6</v>
      </c>
      <c r="J1427" s="36">
        <f t="shared" si="309"/>
        <v>139.3</v>
      </c>
      <c r="K1427" s="7">
        <f>'прил.5'!L1600</f>
        <v>0</v>
      </c>
      <c r="L1427" s="36">
        <f t="shared" si="301"/>
        <v>139.3</v>
      </c>
      <c r="M1427" s="7">
        <f>'прил.5'!N1600</f>
        <v>0</v>
      </c>
      <c r="N1427" s="36">
        <f t="shared" si="310"/>
        <v>139.3</v>
      </c>
      <c r="O1427" s="7">
        <f>'прил.5'!P1600</f>
        <v>0</v>
      </c>
      <c r="P1427" s="36">
        <f t="shared" si="308"/>
        <v>139.3</v>
      </c>
      <c r="Q1427" s="7">
        <f>'прил.5'!R1600</f>
        <v>0</v>
      </c>
      <c r="R1427" s="36">
        <f t="shared" si="306"/>
        <v>139.3</v>
      </c>
    </row>
    <row r="1428" spans="1:18" ht="12.75">
      <c r="A1428" s="62" t="str">
        <f ca="1" t="shared" si="307"/>
        <v>Иные бюджетные ассигнования</v>
      </c>
      <c r="B1428" s="44" t="s">
        <v>314</v>
      </c>
      <c r="C1428" s="8" t="s">
        <v>221</v>
      </c>
      <c r="D1428" s="8" t="s">
        <v>225</v>
      </c>
      <c r="E1428" s="115">
        <v>800</v>
      </c>
      <c r="F1428" s="7">
        <f>F1429</f>
        <v>1.5</v>
      </c>
      <c r="G1428" s="7">
        <f>G1429</f>
        <v>0</v>
      </c>
      <c r="H1428" s="36">
        <f t="shared" si="295"/>
        <v>1.5</v>
      </c>
      <c r="I1428" s="7">
        <f>I1429</f>
        <v>3</v>
      </c>
      <c r="J1428" s="36">
        <f t="shared" si="309"/>
        <v>4.5</v>
      </c>
      <c r="K1428" s="7">
        <f>K1429</f>
        <v>0</v>
      </c>
      <c r="L1428" s="36">
        <f t="shared" si="301"/>
        <v>4.5</v>
      </c>
      <c r="M1428" s="7">
        <f>M1429</f>
        <v>0</v>
      </c>
      <c r="N1428" s="36">
        <f t="shared" si="310"/>
        <v>4.5</v>
      </c>
      <c r="O1428" s="7">
        <f>O1429</f>
        <v>0</v>
      </c>
      <c r="P1428" s="36">
        <f t="shared" si="308"/>
        <v>4.5</v>
      </c>
      <c r="Q1428" s="7">
        <f>Q1429</f>
        <v>0</v>
      </c>
      <c r="R1428" s="36">
        <f t="shared" si="306"/>
        <v>4.5</v>
      </c>
    </row>
    <row r="1429" spans="1:18" ht="12.75">
      <c r="A1429" s="62" t="str">
        <f ca="1" t="shared" si="307"/>
        <v>Уплата налогов, сборов и иных платежей</v>
      </c>
      <c r="B1429" s="44" t="s">
        <v>314</v>
      </c>
      <c r="C1429" s="8" t="s">
        <v>221</v>
      </c>
      <c r="D1429" s="8" t="s">
        <v>225</v>
      </c>
      <c r="E1429" s="115">
        <v>850</v>
      </c>
      <c r="F1429" s="7">
        <f>F1430</f>
        <v>1.5</v>
      </c>
      <c r="G1429" s="7">
        <f>G1430</f>
        <v>0</v>
      </c>
      <c r="H1429" s="36">
        <f t="shared" si="295"/>
        <v>1.5</v>
      </c>
      <c r="I1429" s="7">
        <f>I1430</f>
        <v>3</v>
      </c>
      <c r="J1429" s="36">
        <f t="shared" si="309"/>
        <v>4.5</v>
      </c>
      <c r="K1429" s="7">
        <f>K1430</f>
        <v>0</v>
      </c>
      <c r="L1429" s="36">
        <f t="shared" si="301"/>
        <v>4.5</v>
      </c>
      <c r="M1429" s="7">
        <f>M1430</f>
        <v>0</v>
      </c>
      <c r="N1429" s="36">
        <f t="shared" si="310"/>
        <v>4.5</v>
      </c>
      <c r="O1429" s="7">
        <f>O1430</f>
        <v>0</v>
      </c>
      <c r="P1429" s="36">
        <f t="shared" si="308"/>
        <v>4.5</v>
      </c>
      <c r="Q1429" s="7">
        <f>Q1430</f>
        <v>0</v>
      </c>
      <c r="R1429" s="36">
        <f t="shared" si="306"/>
        <v>4.5</v>
      </c>
    </row>
    <row r="1430" spans="1:18" ht="12.75">
      <c r="A1430" s="62" t="str">
        <f ca="1" t="shared" si="307"/>
        <v>Уплата прочих налогов, сборов и иных платежей</v>
      </c>
      <c r="B1430" s="44" t="s">
        <v>314</v>
      </c>
      <c r="C1430" s="8" t="s">
        <v>221</v>
      </c>
      <c r="D1430" s="8" t="s">
        <v>225</v>
      </c>
      <c r="E1430" s="115">
        <v>852</v>
      </c>
      <c r="F1430" s="7">
        <f>'прил.5'!G857</f>
        <v>1.5</v>
      </c>
      <c r="G1430" s="7">
        <f>'прил.5'!H857</f>
        <v>0</v>
      </c>
      <c r="H1430" s="36">
        <f t="shared" si="295"/>
        <v>1.5</v>
      </c>
      <c r="I1430" s="7">
        <f>'прил.5'!J1603</f>
        <v>3</v>
      </c>
      <c r="J1430" s="36">
        <f t="shared" si="309"/>
        <v>4.5</v>
      </c>
      <c r="K1430" s="7">
        <f>'прил.5'!L1603</f>
        <v>0</v>
      </c>
      <c r="L1430" s="36">
        <f t="shared" si="301"/>
        <v>4.5</v>
      </c>
      <c r="M1430" s="7">
        <f>'прил.5'!N1603</f>
        <v>0</v>
      </c>
      <c r="N1430" s="36">
        <f t="shared" si="310"/>
        <v>4.5</v>
      </c>
      <c r="O1430" s="7">
        <f>'прил.5'!P1603</f>
        <v>0</v>
      </c>
      <c r="P1430" s="36">
        <f t="shared" si="308"/>
        <v>4.5</v>
      </c>
      <c r="Q1430" s="7">
        <f>'прил.5'!R1603</f>
        <v>0</v>
      </c>
      <c r="R1430" s="36">
        <f t="shared" si="306"/>
        <v>4.5</v>
      </c>
    </row>
    <row r="1431" spans="1:18" ht="12.75">
      <c r="A1431" s="62" t="str">
        <f ca="1">IF(ISERROR(MATCH(C1431,Код_Раздел,0)),"",INDIRECT(ADDRESS(MATCH(C1431,Код_Раздел,0)+1,2,,,"Раздел")))</f>
        <v>Национальная экономика</v>
      </c>
      <c r="B1431" s="44" t="s">
        <v>314</v>
      </c>
      <c r="C1431" s="8" t="s">
        <v>224</v>
      </c>
      <c r="D1431" s="8"/>
      <c r="E1431" s="115"/>
      <c r="F1431" s="7">
        <f>F1432</f>
        <v>68230.3</v>
      </c>
      <c r="G1431" s="7">
        <f>G1432</f>
        <v>0</v>
      </c>
      <c r="H1431" s="36">
        <f t="shared" si="295"/>
        <v>68230.3</v>
      </c>
      <c r="I1431" s="7">
        <f>I1432</f>
        <v>0</v>
      </c>
      <c r="J1431" s="36">
        <f t="shared" si="309"/>
        <v>68230.3</v>
      </c>
      <c r="K1431" s="7">
        <f>K1432</f>
        <v>0</v>
      </c>
      <c r="L1431" s="36">
        <f t="shared" si="301"/>
        <v>68230.3</v>
      </c>
      <c r="M1431" s="7">
        <f>M1432</f>
        <v>0</v>
      </c>
      <c r="N1431" s="36">
        <f t="shared" si="310"/>
        <v>68230.3</v>
      </c>
      <c r="O1431" s="7">
        <f>O1432</f>
        <v>0</v>
      </c>
      <c r="P1431" s="36">
        <f t="shared" si="308"/>
        <v>68230.3</v>
      </c>
      <c r="Q1431" s="7">
        <f>Q1432</f>
        <v>0</v>
      </c>
      <c r="R1431" s="36">
        <f t="shared" si="306"/>
        <v>68230.3</v>
      </c>
    </row>
    <row r="1432" spans="1:18" ht="12.75">
      <c r="A1432" s="12" t="s">
        <v>172</v>
      </c>
      <c r="B1432" s="44" t="s">
        <v>314</v>
      </c>
      <c r="C1432" s="8" t="s">
        <v>224</v>
      </c>
      <c r="D1432" s="8" t="s">
        <v>204</v>
      </c>
      <c r="E1432" s="115"/>
      <c r="F1432" s="7">
        <f>F1433+F1435+F1438</f>
        <v>68230.3</v>
      </c>
      <c r="G1432" s="7">
        <f>G1433+G1435+G1438</f>
        <v>0</v>
      </c>
      <c r="H1432" s="36">
        <f aca="true" t="shared" si="311" ref="H1432:H1496">F1432+G1432</f>
        <v>68230.3</v>
      </c>
      <c r="I1432" s="7">
        <f>I1433+I1435+I1438</f>
        <v>0</v>
      </c>
      <c r="J1432" s="36">
        <f t="shared" si="309"/>
        <v>68230.3</v>
      </c>
      <c r="K1432" s="7">
        <f>K1433+K1435+K1438</f>
        <v>0</v>
      </c>
      <c r="L1432" s="36">
        <f t="shared" si="301"/>
        <v>68230.3</v>
      </c>
      <c r="M1432" s="7">
        <f>M1433+M1435+M1438</f>
        <v>0</v>
      </c>
      <c r="N1432" s="36">
        <f t="shared" si="310"/>
        <v>68230.3</v>
      </c>
      <c r="O1432" s="7">
        <f>O1433+O1435+O1438</f>
        <v>0</v>
      </c>
      <c r="P1432" s="36">
        <f t="shared" si="308"/>
        <v>68230.3</v>
      </c>
      <c r="Q1432" s="7">
        <f>Q1433+Q1435+Q1438</f>
        <v>0</v>
      </c>
      <c r="R1432" s="36">
        <f t="shared" si="306"/>
        <v>68230.3</v>
      </c>
    </row>
    <row r="1433" spans="1:18" ht="33">
      <c r="A1433" s="62" t="str">
        <f aca="true" t="shared" si="312" ref="A1433:A1441">IF(ISERROR(MATCH(E1433,Код_КВР,0)),"",INDIRECT(ADDRESS(MATCH(E1433,Код_КВР,0)+1,2,,,"КВР")))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33" s="44" t="s">
        <v>314</v>
      </c>
      <c r="C1433" s="8" t="s">
        <v>224</v>
      </c>
      <c r="D1433" s="8" t="s">
        <v>204</v>
      </c>
      <c r="E1433" s="115">
        <v>100</v>
      </c>
      <c r="F1433" s="7">
        <f>F1434</f>
        <v>68183.7</v>
      </c>
      <c r="G1433" s="7">
        <f>G1434</f>
        <v>0</v>
      </c>
      <c r="H1433" s="36">
        <f t="shared" si="311"/>
        <v>68183.7</v>
      </c>
      <c r="I1433" s="7">
        <f>I1434</f>
        <v>0</v>
      </c>
      <c r="J1433" s="36">
        <f t="shared" si="309"/>
        <v>68183.7</v>
      </c>
      <c r="K1433" s="7">
        <f>K1434</f>
        <v>0</v>
      </c>
      <c r="L1433" s="36">
        <f t="shared" si="301"/>
        <v>68183.7</v>
      </c>
      <c r="M1433" s="7">
        <f>M1434</f>
        <v>0</v>
      </c>
      <c r="N1433" s="36">
        <f t="shared" si="310"/>
        <v>68183.7</v>
      </c>
      <c r="O1433" s="7">
        <f>O1434</f>
        <v>-0.1</v>
      </c>
      <c r="P1433" s="36">
        <f t="shared" si="308"/>
        <v>68183.59999999999</v>
      </c>
      <c r="Q1433" s="7">
        <f>Q1434</f>
        <v>-1.4</v>
      </c>
      <c r="R1433" s="36">
        <f t="shared" si="306"/>
        <v>68182.2</v>
      </c>
    </row>
    <row r="1434" spans="1:18" ht="12.75">
      <c r="A1434" s="62" t="str">
        <f ca="1" t="shared" si="312"/>
        <v>Расходы на выплаты персоналу муниципальных органов</v>
      </c>
      <c r="B1434" s="44" t="s">
        <v>314</v>
      </c>
      <c r="C1434" s="8" t="s">
        <v>224</v>
      </c>
      <c r="D1434" s="8" t="s">
        <v>204</v>
      </c>
      <c r="E1434" s="115">
        <v>120</v>
      </c>
      <c r="F1434" s="7">
        <f>'прил.5'!G557+'прил.5'!G1476</f>
        <v>68183.7</v>
      </c>
      <c r="G1434" s="7">
        <f>'прил.5'!H557+'прил.5'!H1476</f>
        <v>0</v>
      </c>
      <c r="H1434" s="36">
        <f t="shared" si="311"/>
        <v>68183.7</v>
      </c>
      <c r="I1434" s="7">
        <f>'прил.5'!J557+'прил.5'!J1476</f>
        <v>0</v>
      </c>
      <c r="J1434" s="36">
        <f t="shared" si="309"/>
        <v>68183.7</v>
      </c>
      <c r="K1434" s="7">
        <f>'прил.5'!L557+'прил.5'!L1476</f>
        <v>0</v>
      </c>
      <c r="L1434" s="36">
        <f t="shared" si="301"/>
        <v>68183.7</v>
      </c>
      <c r="M1434" s="7">
        <f>'прил.5'!N557+'прил.5'!N1476</f>
        <v>0</v>
      </c>
      <c r="N1434" s="36">
        <f t="shared" si="310"/>
        <v>68183.7</v>
      </c>
      <c r="O1434" s="7">
        <f>'прил.5'!P557+'прил.5'!P1476</f>
        <v>-0.1</v>
      </c>
      <c r="P1434" s="36">
        <f t="shared" si="308"/>
        <v>68183.59999999999</v>
      </c>
      <c r="Q1434" s="7">
        <f>'прил.5'!R557+'прил.5'!R1476</f>
        <v>-1.4</v>
      </c>
      <c r="R1434" s="36">
        <f t="shared" si="306"/>
        <v>68182.2</v>
      </c>
    </row>
    <row r="1435" spans="1:18" ht="12.75">
      <c r="A1435" s="62" t="str">
        <f ca="1" t="shared" si="312"/>
        <v>Закупка товаров, работ и услуг для муниципальных нужд</v>
      </c>
      <c r="B1435" s="44" t="s">
        <v>314</v>
      </c>
      <c r="C1435" s="8" t="s">
        <v>224</v>
      </c>
      <c r="D1435" s="8" t="s">
        <v>204</v>
      </c>
      <c r="E1435" s="115">
        <v>200</v>
      </c>
      <c r="F1435" s="7">
        <f>F1436</f>
        <v>41.6</v>
      </c>
      <c r="G1435" s="7">
        <f>G1436</f>
        <v>0</v>
      </c>
      <c r="H1435" s="36">
        <f t="shared" si="311"/>
        <v>41.6</v>
      </c>
      <c r="I1435" s="7">
        <f>I1436</f>
        <v>0</v>
      </c>
      <c r="J1435" s="36">
        <f t="shared" si="309"/>
        <v>41.6</v>
      </c>
      <c r="K1435" s="7">
        <f>K1436</f>
        <v>0</v>
      </c>
      <c r="L1435" s="36">
        <f t="shared" si="301"/>
        <v>41.6</v>
      </c>
      <c r="M1435" s="7">
        <f>M1436</f>
        <v>0</v>
      </c>
      <c r="N1435" s="36">
        <f t="shared" si="310"/>
        <v>41.6</v>
      </c>
      <c r="O1435" s="7">
        <f>O1436</f>
        <v>0</v>
      </c>
      <c r="P1435" s="36">
        <f t="shared" si="308"/>
        <v>41.6</v>
      </c>
      <c r="Q1435" s="7">
        <f>Q1436</f>
        <v>1.4</v>
      </c>
      <c r="R1435" s="36">
        <f t="shared" si="306"/>
        <v>43</v>
      </c>
    </row>
    <row r="1436" spans="1:18" ht="33">
      <c r="A1436" s="62" t="str">
        <f ca="1" t="shared" si="312"/>
        <v>Иные закупки товаров, работ и услуг для обеспечения муниципальных нужд</v>
      </c>
      <c r="B1436" s="44" t="s">
        <v>314</v>
      </c>
      <c r="C1436" s="8" t="s">
        <v>224</v>
      </c>
      <c r="D1436" s="8" t="s">
        <v>204</v>
      </c>
      <c r="E1436" s="115">
        <v>240</v>
      </c>
      <c r="F1436" s="7">
        <f>F1437</f>
        <v>41.6</v>
      </c>
      <c r="G1436" s="7">
        <f>G1437</f>
        <v>0</v>
      </c>
      <c r="H1436" s="36">
        <f t="shared" si="311"/>
        <v>41.6</v>
      </c>
      <c r="I1436" s="7">
        <f>I1437</f>
        <v>0</v>
      </c>
      <c r="J1436" s="36">
        <f t="shared" si="309"/>
        <v>41.6</v>
      </c>
      <c r="K1436" s="7">
        <f>K1437</f>
        <v>0</v>
      </c>
      <c r="L1436" s="36">
        <f t="shared" si="301"/>
        <v>41.6</v>
      </c>
      <c r="M1436" s="7">
        <f>M1437</f>
        <v>0</v>
      </c>
      <c r="N1436" s="36">
        <f t="shared" si="310"/>
        <v>41.6</v>
      </c>
      <c r="O1436" s="7">
        <f>O1437</f>
        <v>0</v>
      </c>
      <c r="P1436" s="36">
        <f t="shared" si="308"/>
        <v>41.6</v>
      </c>
      <c r="Q1436" s="7">
        <f>Q1437</f>
        <v>1.4</v>
      </c>
      <c r="R1436" s="36">
        <f t="shared" si="306"/>
        <v>43</v>
      </c>
    </row>
    <row r="1437" spans="1:18" ht="33">
      <c r="A1437" s="62" t="str">
        <f ca="1" t="shared" si="312"/>
        <v xml:space="preserve">Прочая закупка товаров, работ и услуг для обеспечения муниципальных нужд         </v>
      </c>
      <c r="B1437" s="44" t="s">
        <v>314</v>
      </c>
      <c r="C1437" s="8" t="s">
        <v>224</v>
      </c>
      <c r="D1437" s="8" t="s">
        <v>204</v>
      </c>
      <c r="E1437" s="115">
        <v>244</v>
      </c>
      <c r="F1437" s="7">
        <f>'прил.5'!G560+'прил.5'!G1479</f>
        <v>41.6</v>
      </c>
      <c r="G1437" s="7">
        <f>'прил.5'!H560+'прил.5'!H1479</f>
        <v>0</v>
      </c>
      <c r="H1437" s="36">
        <f t="shared" si="311"/>
        <v>41.6</v>
      </c>
      <c r="I1437" s="7">
        <f>'прил.5'!J560+'прил.5'!J1479</f>
        <v>0</v>
      </c>
      <c r="J1437" s="36">
        <f t="shared" si="309"/>
        <v>41.6</v>
      </c>
      <c r="K1437" s="7">
        <f>'прил.5'!L560+'прил.5'!L1479</f>
        <v>0</v>
      </c>
      <c r="L1437" s="36">
        <f t="shared" si="301"/>
        <v>41.6</v>
      </c>
      <c r="M1437" s="7">
        <f>'прил.5'!N560+'прил.5'!N1479</f>
        <v>0</v>
      </c>
      <c r="N1437" s="36">
        <f t="shared" si="310"/>
        <v>41.6</v>
      </c>
      <c r="O1437" s="7">
        <f>'прил.5'!P560+'прил.5'!P1479</f>
        <v>0</v>
      </c>
      <c r="P1437" s="36">
        <f t="shared" si="308"/>
        <v>41.6</v>
      </c>
      <c r="Q1437" s="7">
        <f>'прил.5'!R560+'прил.5'!R1479</f>
        <v>1.4</v>
      </c>
      <c r="R1437" s="36">
        <f t="shared" si="306"/>
        <v>43</v>
      </c>
    </row>
    <row r="1438" spans="1:18" ht="12.75">
      <c r="A1438" s="62" t="str">
        <f ca="1" t="shared" si="312"/>
        <v>Иные бюджетные ассигнования</v>
      </c>
      <c r="B1438" s="44" t="s">
        <v>314</v>
      </c>
      <c r="C1438" s="8" t="s">
        <v>224</v>
      </c>
      <c r="D1438" s="8" t="s">
        <v>204</v>
      </c>
      <c r="E1438" s="115">
        <v>800</v>
      </c>
      <c r="F1438" s="7">
        <f>F1439</f>
        <v>5</v>
      </c>
      <c r="G1438" s="7">
        <f>G1439</f>
        <v>0</v>
      </c>
      <c r="H1438" s="36">
        <f t="shared" si="311"/>
        <v>5</v>
      </c>
      <c r="I1438" s="7">
        <f>I1439</f>
        <v>0</v>
      </c>
      <c r="J1438" s="36">
        <f t="shared" si="309"/>
        <v>5</v>
      </c>
      <c r="K1438" s="7">
        <f>K1439</f>
        <v>0</v>
      </c>
      <c r="L1438" s="36">
        <f t="shared" si="301"/>
        <v>5</v>
      </c>
      <c r="M1438" s="7">
        <f>M1439</f>
        <v>0</v>
      </c>
      <c r="N1438" s="36">
        <f t="shared" si="310"/>
        <v>5</v>
      </c>
      <c r="O1438" s="7">
        <f>O1439</f>
        <v>0.1</v>
      </c>
      <c r="P1438" s="36">
        <f t="shared" si="308"/>
        <v>5.1</v>
      </c>
      <c r="Q1438" s="7">
        <f>Q1439</f>
        <v>0</v>
      </c>
      <c r="R1438" s="36">
        <f t="shared" si="306"/>
        <v>5.1</v>
      </c>
    </row>
    <row r="1439" spans="1:18" ht="12.75">
      <c r="A1439" s="62" t="str">
        <f ca="1" t="shared" si="312"/>
        <v>Уплата налогов, сборов и иных платежей</v>
      </c>
      <c r="B1439" s="44" t="s">
        <v>314</v>
      </c>
      <c r="C1439" s="8" t="s">
        <v>224</v>
      </c>
      <c r="D1439" s="8" t="s">
        <v>204</v>
      </c>
      <c r="E1439" s="115">
        <v>850</v>
      </c>
      <c r="F1439" s="7">
        <f>F1441</f>
        <v>5</v>
      </c>
      <c r="G1439" s="7">
        <f>G1441</f>
        <v>0</v>
      </c>
      <c r="H1439" s="36">
        <f t="shared" si="311"/>
        <v>5</v>
      </c>
      <c r="I1439" s="7">
        <f>I1441</f>
        <v>0</v>
      </c>
      <c r="J1439" s="36">
        <f t="shared" si="309"/>
        <v>5</v>
      </c>
      <c r="K1439" s="7">
        <f>K1441</f>
        <v>0</v>
      </c>
      <c r="L1439" s="36">
        <f t="shared" si="301"/>
        <v>5</v>
      </c>
      <c r="M1439" s="7">
        <f>M1441</f>
        <v>0</v>
      </c>
      <c r="N1439" s="36">
        <f t="shared" si="310"/>
        <v>5</v>
      </c>
      <c r="O1439" s="7">
        <f>O1441+O1440</f>
        <v>0.1</v>
      </c>
      <c r="P1439" s="36">
        <f t="shared" si="308"/>
        <v>5.1</v>
      </c>
      <c r="Q1439" s="7">
        <f>Q1441+Q1440</f>
        <v>0</v>
      </c>
      <c r="R1439" s="36">
        <f t="shared" si="306"/>
        <v>5.1</v>
      </c>
    </row>
    <row r="1440" spans="1:18" ht="12.75">
      <c r="A1440" s="62" t="str">
        <f aca="true" t="shared" si="313" ref="A1440">IF(ISERROR(MATCH(E1440,Код_КВР,0)),"",INDIRECT(ADDRESS(MATCH(E1440,Код_КВР,0)+1,2,,,"КВР")))</f>
        <v>Уплата налога на имущество организаций и земельного налога</v>
      </c>
      <c r="B1440" s="44" t="s">
        <v>314</v>
      </c>
      <c r="C1440" s="8" t="s">
        <v>224</v>
      </c>
      <c r="D1440" s="8" t="s">
        <v>204</v>
      </c>
      <c r="E1440" s="115">
        <v>851</v>
      </c>
      <c r="F1440" s="7"/>
      <c r="G1440" s="7"/>
      <c r="H1440" s="36"/>
      <c r="I1440" s="7"/>
      <c r="J1440" s="36"/>
      <c r="K1440" s="7"/>
      <c r="L1440" s="36"/>
      <c r="M1440" s="7"/>
      <c r="N1440" s="36"/>
      <c r="O1440" s="7">
        <f>'прил.5'!P563</f>
        <v>0.1</v>
      </c>
      <c r="P1440" s="36">
        <f t="shared" si="308"/>
        <v>0.1</v>
      </c>
      <c r="Q1440" s="7">
        <f>'прил.5'!R563</f>
        <v>0</v>
      </c>
      <c r="R1440" s="36">
        <f t="shared" si="306"/>
        <v>0.1</v>
      </c>
    </row>
    <row r="1441" spans="1:18" ht="12.75">
      <c r="A1441" s="62" t="str">
        <f ca="1" t="shared" si="312"/>
        <v>Уплата прочих налогов, сборов и иных платежей</v>
      </c>
      <c r="B1441" s="44" t="s">
        <v>314</v>
      </c>
      <c r="C1441" s="8" t="s">
        <v>224</v>
      </c>
      <c r="D1441" s="8" t="s">
        <v>204</v>
      </c>
      <c r="E1441" s="115">
        <v>852</v>
      </c>
      <c r="F1441" s="7">
        <f>'прил.5'!G564+'прил.5'!G1482</f>
        <v>5</v>
      </c>
      <c r="G1441" s="7">
        <f>'прил.5'!H564+'прил.5'!H1482</f>
        <v>0</v>
      </c>
      <c r="H1441" s="36">
        <f t="shared" si="311"/>
        <v>5</v>
      </c>
      <c r="I1441" s="7">
        <f>'прил.5'!J564+'прил.5'!J1482</f>
        <v>0</v>
      </c>
      <c r="J1441" s="36">
        <f t="shared" si="309"/>
        <v>5</v>
      </c>
      <c r="K1441" s="7">
        <f>'прил.5'!L564+'прил.5'!L1482</f>
        <v>0</v>
      </c>
      <c r="L1441" s="36">
        <f t="shared" si="301"/>
        <v>5</v>
      </c>
      <c r="M1441" s="7">
        <f>'прил.5'!N564+'прил.5'!N1482</f>
        <v>0</v>
      </c>
      <c r="N1441" s="36">
        <f t="shared" si="310"/>
        <v>5</v>
      </c>
      <c r="O1441" s="7">
        <f>'прил.5'!P564+'прил.5'!P1482</f>
        <v>0</v>
      </c>
      <c r="P1441" s="36">
        <f t="shared" si="308"/>
        <v>5</v>
      </c>
      <c r="Q1441" s="7">
        <f>'прил.5'!R564+'прил.5'!R1482</f>
        <v>0</v>
      </c>
      <c r="R1441" s="36">
        <f t="shared" si="306"/>
        <v>5</v>
      </c>
    </row>
    <row r="1442" spans="1:18" ht="12.75">
      <c r="A1442" s="62" t="str">
        <f ca="1">IF(ISERROR(MATCH(C1442,Код_Раздел,0)),"",INDIRECT(ADDRESS(MATCH(C1442,Код_Раздел,0)+1,2,,,"Раздел")))</f>
        <v>Жилищно-коммунальное хозяйство</v>
      </c>
      <c r="B1442" s="44" t="s">
        <v>314</v>
      </c>
      <c r="C1442" s="8" t="s">
        <v>229</v>
      </c>
      <c r="D1442" s="8"/>
      <c r="E1442" s="115"/>
      <c r="F1442" s="7">
        <f>F1443</f>
        <v>21929.300000000003</v>
      </c>
      <c r="G1442" s="7">
        <f>G1443</f>
        <v>0</v>
      </c>
      <c r="H1442" s="36">
        <f t="shared" si="311"/>
        <v>21929.300000000003</v>
      </c>
      <c r="I1442" s="7">
        <f>I1443</f>
        <v>0</v>
      </c>
      <c r="J1442" s="36">
        <f t="shared" si="309"/>
        <v>21929.300000000003</v>
      </c>
      <c r="K1442" s="7">
        <f>K1443</f>
        <v>0</v>
      </c>
      <c r="L1442" s="36">
        <f t="shared" si="301"/>
        <v>21929.300000000003</v>
      </c>
      <c r="M1442" s="7">
        <f>M1443</f>
        <v>0</v>
      </c>
      <c r="N1442" s="36">
        <f t="shared" si="310"/>
        <v>21929.300000000003</v>
      </c>
      <c r="O1442" s="7">
        <f>O1443</f>
        <v>0</v>
      </c>
      <c r="P1442" s="36">
        <f t="shared" si="308"/>
        <v>21929.300000000003</v>
      </c>
      <c r="Q1442" s="7">
        <f>Q1443</f>
        <v>0</v>
      </c>
      <c r="R1442" s="36">
        <f t="shared" si="306"/>
        <v>21929.300000000003</v>
      </c>
    </row>
    <row r="1443" spans="1:18" ht="12.75">
      <c r="A1443" s="12" t="s">
        <v>172</v>
      </c>
      <c r="B1443" s="44" t="s">
        <v>314</v>
      </c>
      <c r="C1443" s="8" t="s">
        <v>229</v>
      </c>
      <c r="D1443" s="8" t="s">
        <v>229</v>
      </c>
      <c r="E1443" s="115"/>
      <c r="F1443" s="7">
        <f>F1444+F1446+F1449</f>
        <v>21929.300000000003</v>
      </c>
      <c r="G1443" s="7">
        <f>G1444+G1446+G1449</f>
        <v>0</v>
      </c>
      <c r="H1443" s="36">
        <f t="shared" si="311"/>
        <v>21929.300000000003</v>
      </c>
      <c r="I1443" s="7">
        <f>I1444+I1446+I1449</f>
        <v>0</v>
      </c>
      <c r="J1443" s="36">
        <f t="shared" si="309"/>
        <v>21929.300000000003</v>
      </c>
      <c r="K1443" s="7">
        <f>K1444+K1446+K1449</f>
        <v>0</v>
      </c>
      <c r="L1443" s="36">
        <f t="shared" si="301"/>
        <v>21929.300000000003</v>
      </c>
      <c r="M1443" s="7">
        <f>M1444+M1446+M1449</f>
        <v>0</v>
      </c>
      <c r="N1443" s="36">
        <f t="shared" si="310"/>
        <v>21929.300000000003</v>
      </c>
      <c r="O1443" s="7">
        <f>O1444+O1446+O1449</f>
        <v>0</v>
      </c>
      <c r="P1443" s="36">
        <f t="shared" si="308"/>
        <v>21929.300000000003</v>
      </c>
      <c r="Q1443" s="7">
        <f>Q1444+Q1446+Q1449</f>
        <v>0</v>
      </c>
      <c r="R1443" s="36">
        <f t="shared" si="306"/>
        <v>21929.300000000003</v>
      </c>
    </row>
    <row r="1444" spans="1:18" ht="33">
      <c r="A1444" s="62" t="str">
        <f aca="true" t="shared" si="314" ref="A1444:A1451">IF(ISERROR(MATCH(E1444,Код_КВР,0)),"",INDIRECT(ADDRESS(MATCH(E1444,Код_КВР,0)+1,2,,,"КВР")))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44" s="44" t="s">
        <v>314</v>
      </c>
      <c r="C1444" s="8" t="s">
        <v>229</v>
      </c>
      <c r="D1444" s="8" t="s">
        <v>229</v>
      </c>
      <c r="E1444" s="115">
        <v>100</v>
      </c>
      <c r="F1444" s="7">
        <f>F1445</f>
        <v>21894.9</v>
      </c>
      <c r="G1444" s="7">
        <f>G1445</f>
        <v>0</v>
      </c>
      <c r="H1444" s="36">
        <f t="shared" si="311"/>
        <v>21894.9</v>
      </c>
      <c r="I1444" s="7">
        <f>I1445</f>
        <v>0</v>
      </c>
      <c r="J1444" s="36">
        <f t="shared" si="309"/>
        <v>21894.9</v>
      </c>
      <c r="K1444" s="7">
        <f>K1445</f>
        <v>0</v>
      </c>
      <c r="L1444" s="36">
        <f t="shared" si="301"/>
        <v>21894.9</v>
      </c>
      <c r="M1444" s="7">
        <f>M1445</f>
        <v>0</v>
      </c>
      <c r="N1444" s="36">
        <f t="shared" si="310"/>
        <v>21894.9</v>
      </c>
      <c r="O1444" s="7">
        <f>O1445</f>
        <v>0</v>
      </c>
      <c r="P1444" s="36">
        <f t="shared" si="308"/>
        <v>21894.9</v>
      </c>
      <c r="Q1444" s="7">
        <f>Q1445</f>
        <v>0</v>
      </c>
      <c r="R1444" s="36">
        <f t="shared" si="306"/>
        <v>21894.9</v>
      </c>
    </row>
    <row r="1445" spans="1:18" ht="12.75">
      <c r="A1445" s="62" t="str">
        <f ca="1" t="shared" si="314"/>
        <v>Расходы на выплаты персоналу муниципальных органов</v>
      </c>
      <c r="B1445" s="44" t="s">
        <v>314</v>
      </c>
      <c r="C1445" s="8" t="s">
        <v>229</v>
      </c>
      <c r="D1445" s="8" t="s">
        <v>229</v>
      </c>
      <c r="E1445" s="115">
        <v>120</v>
      </c>
      <c r="F1445" s="7">
        <f>'прил.5'!G512</f>
        <v>21894.9</v>
      </c>
      <c r="G1445" s="7">
        <f>'прил.5'!H512</f>
        <v>0</v>
      </c>
      <c r="H1445" s="36">
        <f t="shared" si="311"/>
        <v>21894.9</v>
      </c>
      <c r="I1445" s="7">
        <f>'прил.5'!J512</f>
        <v>0</v>
      </c>
      <c r="J1445" s="36">
        <f t="shared" si="309"/>
        <v>21894.9</v>
      </c>
      <c r="K1445" s="7">
        <f>'прил.5'!L512</f>
        <v>0</v>
      </c>
      <c r="L1445" s="36">
        <f t="shared" si="301"/>
        <v>21894.9</v>
      </c>
      <c r="M1445" s="7">
        <f>'прил.5'!N512</f>
        <v>0</v>
      </c>
      <c r="N1445" s="36">
        <f t="shared" si="310"/>
        <v>21894.9</v>
      </c>
      <c r="O1445" s="7">
        <f>'прил.5'!P512</f>
        <v>0</v>
      </c>
      <c r="P1445" s="36">
        <f t="shared" si="308"/>
        <v>21894.9</v>
      </c>
      <c r="Q1445" s="7">
        <f>'прил.5'!R512</f>
        <v>0</v>
      </c>
      <c r="R1445" s="36">
        <f t="shared" si="306"/>
        <v>21894.9</v>
      </c>
    </row>
    <row r="1446" spans="1:18" ht="12.75">
      <c r="A1446" s="62" t="str">
        <f ca="1" t="shared" si="314"/>
        <v>Закупка товаров, работ и услуг для муниципальных нужд</v>
      </c>
      <c r="B1446" s="44" t="s">
        <v>314</v>
      </c>
      <c r="C1446" s="8" t="s">
        <v>229</v>
      </c>
      <c r="D1446" s="8" t="s">
        <v>229</v>
      </c>
      <c r="E1446" s="115">
        <v>200</v>
      </c>
      <c r="F1446" s="7">
        <f>F1447</f>
        <v>31.4</v>
      </c>
      <c r="G1446" s="7">
        <f>G1447</f>
        <v>0</v>
      </c>
      <c r="H1446" s="36">
        <f t="shared" si="311"/>
        <v>31.4</v>
      </c>
      <c r="I1446" s="7">
        <f>I1447</f>
        <v>0</v>
      </c>
      <c r="J1446" s="36">
        <f t="shared" si="309"/>
        <v>31.4</v>
      </c>
      <c r="K1446" s="7">
        <f>K1447</f>
        <v>0</v>
      </c>
      <c r="L1446" s="36">
        <f t="shared" si="301"/>
        <v>31.4</v>
      </c>
      <c r="M1446" s="7">
        <f>M1447</f>
        <v>0</v>
      </c>
      <c r="N1446" s="36">
        <f t="shared" si="310"/>
        <v>31.4</v>
      </c>
      <c r="O1446" s="7">
        <f>O1447</f>
        <v>0</v>
      </c>
      <c r="P1446" s="36">
        <f t="shared" si="308"/>
        <v>31.4</v>
      </c>
      <c r="Q1446" s="7">
        <f>Q1447</f>
        <v>0</v>
      </c>
      <c r="R1446" s="36">
        <f t="shared" si="306"/>
        <v>31.4</v>
      </c>
    </row>
    <row r="1447" spans="1:18" ht="33">
      <c r="A1447" s="62" t="str">
        <f ca="1" t="shared" si="314"/>
        <v>Иные закупки товаров, работ и услуг для обеспечения муниципальных нужд</v>
      </c>
      <c r="B1447" s="44" t="s">
        <v>314</v>
      </c>
      <c r="C1447" s="8" t="s">
        <v>229</v>
      </c>
      <c r="D1447" s="8" t="s">
        <v>229</v>
      </c>
      <c r="E1447" s="115">
        <v>240</v>
      </c>
      <c r="F1447" s="7">
        <f>F1448</f>
        <v>31.4</v>
      </c>
      <c r="G1447" s="7">
        <f>G1448</f>
        <v>0</v>
      </c>
      <c r="H1447" s="36">
        <f t="shared" si="311"/>
        <v>31.4</v>
      </c>
      <c r="I1447" s="7">
        <f>I1448</f>
        <v>0</v>
      </c>
      <c r="J1447" s="36">
        <f t="shared" si="309"/>
        <v>31.4</v>
      </c>
      <c r="K1447" s="7">
        <f>K1448</f>
        <v>0</v>
      </c>
      <c r="L1447" s="36">
        <f t="shared" si="301"/>
        <v>31.4</v>
      </c>
      <c r="M1447" s="7">
        <f>M1448</f>
        <v>0</v>
      </c>
      <c r="N1447" s="36">
        <f t="shared" si="310"/>
        <v>31.4</v>
      </c>
      <c r="O1447" s="7">
        <f>O1448</f>
        <v>0</v>
      </c>
      <c r="P1447" s="36">
        <f t="shared" si="308"/>
        <v>31.4</v>
      </c>
      <c r="Q1447" s="7">
        <f>Q1448</f>
        <v>0</v>
      </c>
      <c r="R1447" s="36">
        <f t="shared" si="306"/>
        <v>31.4</v>
      </c>
    </row>
    <row r="1448" spans="1:18" ht="33">
      <c r="A1448" s="62" t="str">
        <f ca="1" t="shared" si="314"/>
        <v xml:space="preserve">Прочая закупка товаров, работ и услуг для обеспечения муниципальных нужд         </v>
      </c>
      <c r="B1448" s="44" t="s">
        <v>314</v>
      </c>
      <c r="C1448" s="8" t="s">
        <v>229</v>
      </c>
      <c r="D1448" s="8" t="s">
        <v>229</v>
      </c>
      <c r="E1448" s="115">
        <v>244</v>
      </c>
      <c r="F1448" s="7">
        <f>'прил.5'!G515</f>
        <v>31.4</v>
      </c>
      <c r="G1448" s="7">
        <f>'прил.5'!H515</f>
        <v>0</v>
      </c>
      <c r="H1448" s="36">
        <f t="shared" si="311"/>
        <v>31.4</v>
      </c>
      <c r="I1448" s="7">
        <f>'прил.5'!J515</f>
        <v>0</v>
      </c>
      <c r="J1448" s="36">
        <f t="shared" si="309"/>
        <v>31.4</v>
      </c>
      <c r="K1448" s="7">
        <f>'прил.5'!L515</f>
        <v>0</v>
      </c>
      <c r="L1448" s="36">
        <f t="shared" si="301"/>
        <v>31.4</v>
      </c>
      <c r="M1448" s="7">
        <f>'прил.5'!N515</f>
        <v>0</v>
      </c>
      <c r="N1448" s="36">
        <f t="shared" si="310"/>
        <v>31.4</v>
      </c>
      <c r="O1448" s="7">
        <f>'прил.5'!P515</f>
        <v>0</v>
      </c>
      <c r="P1448" s="36">
        <f t="shared" si="308"/>
        <v>31.4</v>
      </c>
      <c r="Q1448" s="7">
        <f>'прил.5'!R515</f>
        <v>0</v>
      </c>
      <c r="R1448" s="36">
        <f t="shared" si="306"/>
        <v>31.4</v>
      </c>
    </row>
    <row r="1449" spans="1:18" ht="12.75">
      <c r="A1449" s="62" t="str">
        <f ca="1" t="shared" si="314"/>
        <v>Иные бюджетные ассигнования</v>
      </c>
      <c r="B1449" s="44" t="s">
        <v>314</v>
      </c>
      <c r="C1449" s="8" t="s">
        <v>229</v>
      </c>
      <c r="D1449" s="8" t="s">
        <v>229</v>
      </c>
      <c r="E1449" s="115">
        <v>800</v>
      </c>
      <c r="F1449" s="7">
        <f>F1450</f>
        <v>3</v>
      </c>
      <c r="G1449" s="7">
        <f>G1450</f>
        <v>0</v>
      </c>
      <c r="H1449" s="36">
        <f t="shared" si="311"/>
        <v>3</v>
      </c>
      <c r="I1449" s="7">
        <f>I1450</f>
        <v>0</v>
      </c>
      <c r="J1449" s="36">
        <f t="shared" si="309"/>
        <v>3</v>
      </c>
      <c r="K1449" s="7">
        <f>K1450</f>
        <v>0</v>
      </c>
      <c r="L1449" s="36">
        <f t="shared" si="301"/>
        <v>3</v>
      </c>
      <c r="M1449" s="7">
        <f>M1450</f>
        <v>0</v>
      </c>
      <c r="N1449" s="36">
        <f t="shared" si="310"/>
        <v>3</v>
      </c>
      <c r="O1449" s="7">
        <f>O1450</f>
        <v>0</v>
      </c>
      <c r="P1449" s="36">
        <f t="shared" si="308"/>
        <v>3</v>
      </c>
      <c r="Q1449" s="7">
        <f>Q1450</f>
        <v>0</v>
      </c>
      <c r="R1449" s="36">
        <f t="shared" si="306"/>
        <v>3</v>
      </c>
    </row>
    <row r="1450" spans="1:18" ht="12.75">
      <c r="A1450" s="62" t="str">
        <f ca="1" t="shared" si="314"/>
        <v>Уплата налогов, сборов и иных платежей</v>
      </c>
      <c r="B1450" s="44" t="s">
        <v>314</v>
      </c>
      <c r="C1450" s="8" t="s">
        <v>229</v>
      </c>
      <c r="D1450" s="8" t="s">
        <v>229</v>
      </c>
      <c r="E1450" s="115">
        <v>850</v>
      </c>
      <c r="F1450" s="7">
        <f>F1451</f>
        <v>3</v>
      </c>
      <c r="G1450" s="7">
        <f>G1451</f>
        <v>0</v>
      </c>
      <c r="H1450" s="36">
        <f t="shared" si="311"/>
        <v>3</v>
      </c>
      <c r="I1450" s="7">
        <f>I1451</f>
        <v>0</v>
      </c>
      <c r="J1450" s="36">
        <f t="shared" si="309"/>
        <v>3</v>
      </c>
      <c r="K1450" s="7">
        <f>K1451</f>
        <v>0</v>
      </c>
      <c r="L1450" s="36">
        <f t="shared" si="301"/>
        <v>3</v>
      </c>
      <c r="M1450" s="7">
        <f>M1451</f>
        <v>0</v>
      </c>
      <c r="N1450" s="36">
        <f t="shared" si="310"/>
        <v>3</v>
      </c>
      <c r="O1450" s="7">
        <f>O1451</f>
        <v>0</v>
      </c>
      <c r="P1450" s="36">
        <f t="shared" si="308"/>
        <v>3</v>
      </c>
      <c r="Q1450" s="7">
        <f>Q1451</f>
        <v>0</v>
      </c>
      <c r="R1450" s="36">
        <f t="shared" si="306"/>
        <v>3</v>
      </c>
    </row>
    <row r="1451" spans="1:18" ht="12.75">
      <c r="A1451" s="62" t="str">
        <f ca="1" t="shared" si="314"/>
        <v>Уплата прочих налогов, сборов и иных платежей</v>
      </c>
      <c r="B1451" s="44" t="s">
        <v>314</v>
      </c>
      <c r="C1451" s="8" t="s">
        <v>229</v>
      </c>
      <c r="D1451" s="8" t="s">
        <v>229</v>
      </c>
      <c r="E1451" s="115">
        <v>852</v>
      </c>
      <c r="F1451" s="7">
        <f>'прил.5'!G518</f>
        <v>3</v>
      </c>
      <c r="G1451" s="7">
        <f>'прил.5'!H518</f>
        <v>0</v>
      </c>
      <c r="H1451" s="36">
        <f t="shared" si="311"/>
        <v>3</v>
      </c>
      <c r="I1451" s="7">
        <f>'прил.5'!J518</f>
        <v>0</v>
      </c>
      <c r="J1451" s="36">
        <f t="shared" si="309"/>
        <v>3</v>
      </c>
      <c r="K1451" s="7">
        <f>'прил.5'!L518</f>
        <v>0</v>
      </c>
      <c r="L1451" s="36">
        <f t="shared" si="301"/>
        <v>3</v>
      </c>
      <c r="M1451" s="7">
        <f>'прил.5'!N518</f>
        <v>0</v>
      </c>
      <c r="N1451" s="36">
        <f t="shared" si="310"/>
        <v>3</v>
      </c>
      <c r="O1451" s="7">
        <f>'прил.5'!P518</f>
        <v>0</v>
      </c>
      <c r="P1451" s="36">
        <f t="shared" si="308"/>
        <v>3</v>
      </c>
      <c r="Q1451" s="7">
        <f>'прил.5'!R518</f>
        <v>0</v>
      </c>
      <c r="R1451" s="36">
        <f t="shared" si="306"/>
        <v>3</v>
      </c>
    </row>
    <row r="1452" spans="1:18" ht="12.75">
      <c r="A1452" s="62" t="str">
        <f ca="1">IF(ISERROR(MATCH(C1452,Код_Раздел,0)),"",INDIRECT(ADDRESS(MATCH(C1452,Код_Раздел,0)+1,2,,,"Раздел")))</f>
        <v>Охрана окружающей среды</v>
      </c>
      <c r="B1452" s="44" t="s">
        <v>314</v>
      </c>
      <c r="C1452" s="8" t="s">
        <v>225</v>
      </c>
      <c r="D1452" s="8"/>
      <c r="E1452" s="115"/>
      <c r="F1452" s="7">
        <f>F1453</f>
        <v>11173.1</v>
      </c>
      <c r="G1452" s="7">
        <f>G1453</f>
        <v>0</v>
      </c>
      <c r="H1452" s="36">
        <f t="shared" si="311"/>
        <v>11173.1</v>
      </c>
      <c r="I1452" s="7">
        <f>I1453</f>
        <v>0</v>
      </c>
      <c r="J1452" s="36">
        <f t="shared" si="309"/>
        <v>11173.1</v>
      </c>
      <c r="K1452" s="7">
        <f>K1453</f>
        <v>0</v>
      </c>
      <c r="L1452" s="36">
        <f t="shared" si="301"/>
        <v>11173.1</v>
      </c>
      <c r="M1452" s="7">
        <f>M1453</f>
        <v>0</v>
      </c>
      <c r="N1452" s="36">
        <f t="shared" si="310"/>
        <v>11173.1</v>
      </c>
      <c r="O1452" s="7">
        <f>O1453</f>
        <v>0</v>
      </c>
      <c r="P1452" s="36">
        <f t="shared" si="308"/>
        <v>11173.1</v>
      </c>
      <c r="Q1452" s="7">
        <f>Q1453</f>
        <v>0</v>
      </c>
      <c r="R1452" s="36">
        <f t="shared" si="306"/>
        <v>11173.1</v>
      </c>
    </row>
    <row r="1453" spans="1:18" ht="12.75">
      <c r="A1453" s="12" t="s">
        <v>263</v>
      </c>
      <c r="B1453" s="44" t="s">
        <v>314</v>
      </c>
      <c r="C1453" s="8" t="s">
        <v>225</v>
      </c>
      <c r="D1453" s="8" t="s">
        <v>229</v>
      </c>
      <c r="E1453" s="115"/>
      <c r="F1453" s="7">
        <f>F1454+F1456+F1459</f>
        <v>11173.1</v>
      </c>
      <c r="G1453" s="7">
        <f>G1454+G1456+G1459</f>
        <v>0</v>
      </c>
      <c r="H1453" s="36">
        <f t="shared" si="311"/>
        <v>11173.1</v>
      </c>
      <c r="I1453" s="7">
        <f>I1454+I1456+I1459</f>
        <v>0</v>
      </c>
      <c r="J1453" s="36">
        <f t="shared" si="309"/>
        <v>11173.1</v>
      </c>
      <c r="K1453" s="7">
        <f>K1454+K1456+K1459</f>
        <v>0</v>
      </c>
      <c r="L1453" s="36">
        <f aca="true" t="shared" si="315" ref="L1453:L1540">J1453+K1453</f>
        <v>11173.1</v>
      </c>
      <c r="M1453" s="7">
        <f>M1454+M1456+M1459</f>
        <v>0</v>
      </c>
      <c r="N1453" s="36">
        <f t="shared" si="310"/>
        <v>11173.1</v>
      </c>
      <c r="O1453" s="7">
        <f>O1454+O1456+O1459</f>
        <v>0</v>
      </c>
      <c r="P1453" s="36">
        <f t="shared" si="308"/>
        <v>11173.1</v>
      </c>
      <c r="Q1453" s="7">
        <f>Q1454+Q1456+Q1459</f>
        <v>0</v>
      </c>
      <c r="R1453" s="36">
        <f t="shared" si="306"/>
        <v>11173.1</v>
      </c>
    </row>
    <row r="1454" spans="1:18" ht="33">
      <c r="A1454" s="62" t="str">
        <f aca="true" t="shared" si="316" ref="A1454:A1461">IF(ISERROR(MATCH(E1454,Код_КВР,0)),"",INDIRECT(ADDRESS(MATCH(E1454,Код_КВР,0)+1,2,,,"КВР")))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54" s="44" t="s">
        <v>314</v>
      </c>
      <c r="C1454" s="8" t="s">
        <v>225</v>
      </c>
      <c r="D1454" s="8" t="s">
        <v>229</v>
      </c>
      <c r="E1454" s="115">
        <v>100</v>
      </c>
      <c r="F1454" s="7">
        <f>F1455</f>
        <v>11155.7</v>
      </c>
      <c r="G1454" s="7">
        <f>G1455</f>
        <v>0</v>
      </c>
      <c r="H1454" s="36">
        <f t="shared" si="311"/>
        <v>11155.7</v>
      </c>
      <c r="I1454" s="7">
        <f>I1455</f>
        <v>0</v>
      </c>
      <c r="J1454" s="36">
        <f t="shared" si="309"/>
        <v>11155.7</v>
      </c>
      <c r="K1454" s="7">
        <f>K1455</f>
        <v>0</v>
      </c>
      <c r="L1454" s="36">
        <f t="shared" si="315"/>
        <v>11155.7</v>
      </c>
      <c r="M1454" s="7">
        <f>M1455</f>
        <v>0</v>
      </c>
      <c r="N1454" s="36">
        <f t="shared" si="310"/>
        <v>11155.7</v>
      </c>
      <c r="O1454" s="7">
        <f>O1455</f>
        <v>0</v>
      </c>
      <c r="P1454" s="36">
        <f t="shared" si="308"/>
        <v>11155.7</v>
      </c>
      <c r="Q1454" s="7">
        <f>Q1455</f>
        <v>0</v>
      </c>
      <c r="R1454" s="36">
        <f t="shared" si="306"/>
        <v>11155.7</v>
      </c>
    </row>
    <row r="1455" spans="1:18" ht="12.75">
      <c r="A1455" s="62" t="str">
        <f ca="1" t="shared" si="316"/>
        <v>Расходы на выплаты персоналу муниципальных органов</v>
      </c>
      <c r="B1455" s="44" t="s">
        <v>314</v>
      </c>
      <c r="C1455" s="8" t="s">
        <v>225</v>
      </c>
      <c r="D1455" s="8" t="s">
        <v>229</v>
      </c>
      <c r="E1455" s="115">
        <v>120</v>
      </c>
      <c r="F1455" s="7">
        <f>'прил.5'!G1626</f>
        <v>11155.7</v>
      </c>
      <c r="G1455" s="7">
        <f>'прил.5'!H1626</f>
        <v>0</v>
      </c>
      <c r="H1455" s="36">
        <f t="shared" si="311"/>
        <v>11155.7</v>
      </c>
      <c r="I1455" s="7">
        <f>'прил.5'!J1626</f>
        <v>0</v>
      </c>
      <c r="J1455" s="36">
        <f t="shared" si="309"/>
        <v>11155.7</v>
      </c>
      <c r="K1455" s="7">
        <f>'прил.5'!L1626</f>
        <v>0</v>
      </c>
      <c r="L1455" s="36">
        <f t="shared" si="315"/>
        <v>11155.7</v>
      </c>
      <c r="M1455" s="7">
        <f>'прил.5'!N1626</f>
        <v>0</v>
      </c>
      <c r="N1455" s="36">
        <f t="shared" si="310"/>
        <v>11155.7</v>
      </c>
      <c r="O1455" s="7">
        <f>'прил.5'!P1626</f>
        <v>0</v>
      </c>
      <c r="P1455" s="36">
        <f t="shared" si="308"/>
        <v>11155.7</v>
      </c>
      <c r="Q1455" s="7">
        <f>'прил.5'!R1626</f>
        <v>0</v>
      </c>
      <c r="R1455" s="36">
        <f t="shared" si="306"/>
        <v>11155.7</v>
      </c>
    </row>
    <row r="1456" spans="1:18" ht="12.75">
      <c r="A1456" s="62" t="str">
        <f ca="1" t="shared" si="316"/>
        <v>Закупка товаров, работ и услуг для муниципальных нужд</v>
      </c>
      <c r="B1456" s="44" t="s">
        <v>314</v>
      </c>
      <c r="C1456" s="8" t="s">
        <v>225</v>
      </c>
      <c r="D1456" s="8" t="s">
        <v>229</v>
      </c>
      <c r="E1456" s="115">
        <v>200</v>
      </c>
      <c r="F1456" s="7">
        <f>F1457</f>
        <v>15.4</v>
      </c>
      <c r="G1456" s="7">
        <f>G1457</f>
        <v>0</v>
      </c>
      <c r="H1456" s="36">
        <f t="shared" si="311"/>
        <v>15.4</v>
      </c>
      <c r="I1456" s="7">
        <f>I1457</f>
        <v>0</v>
      </c>
      <c r="J1456" s="36">
        <f t="shared" si="309"/>
        <v>15.4</v>
      </c>
      <c r="K1456" s="7">
        <f>K1457</f>
        <v>0</v>
      </c>
      <c r="L1456" s="36">
        <f t="shared" si="315"/>
        <v>15.4</v>
      </c>
      <c r="M1456" s="7">
        <f>M1457</f>
        <v>0</v>
      </c>
      <c r="N1456" s="36">
        <f t="shared" si="310"/>
        <v>15.4</v>
      </c>
      <c r="O1456" s="7">
        <f>O1457</f>
        <v>0</v>
      </c>
      <c r="P1456" s="36">
        <f t="shared" si="308"/>
        <v>15.4</v>
      </c>
      <c r="Q1456" s="7">
        <f>Q1457</f>
        <v>0</v>
      </c>
      <c r="R1456" s="36">
        <f t="shared" si="306"/>
        <v>15.4</v>
      </c>
    </row>
    <row r="1457" spans="1:18" ht="33">
      <c r="A1457" s="62" t="str">
        <f ca="1" t="shared" si="316"/>
        <v>Иные закупки товаров, работ и услуг для обеспечения муниципальных нужд</v>
      </c>
      <c r="B1457" s="44" t="s">
        <v>314</v>
      </c>
      <c r="C1457" s="8" t="s">
        <v>225</v>
      </c>
      <c r="D1457" s="8" t="s">
        <v>229</v>
      </c>
      <c r="E1457" s="115">
        <v>240</v>
      </c>
      <c r="F1457" s="7">
        <f>F1458</f>
        <v>15.4</v>
      </c>
      <c r="G1457" s="7">
        <f>G1458</f>
        <v>0</v>
      </c>
      <c r="H1457" s="36">
        <f t="shared" si="311"/>
        <v>15.4</v>
      </c>
      <c r="I1457" s="7">
        <f>I1458</f>
        <v>0</v>
      </c>
      <c r="J1457" s="36">
        <f t="shared" si="309"/>
        <v>15.4</v>
      </c>
      <c r="K1457" s="7">
        <f>K1458</f>
        <v>0</v>
      </c>
      <c r="L1457" s="36">
        <f t="shared" si="315"/>
        <v>15.4</v>
      </c>
      <c r="M1457" s="7">
        <f>M1458</f>
        <v>0</v>
      </c>
      <c r="N1457" s="36">
        <f t="shared" si="310"/>
        <v>15.4</v>
      </c>
      <c r="O1457" s="7">
        <f>O1458</f>
        <v>0</v>
      </c>
      <c r="P1457" s="36">
        <f t="shared" si="308"/>
        <v>15.4</v>
      </c>
      <c r="Q1457" s="7">
        <f>Q1458</f>
        <v>0</v>
      </c>
      <c r="R1457" s="36">
        <f t="shared" si="306"/>
        <v>15.4</v>
      </c>
    </row>
    <row r="1458" spans="1:18" ht="33">
      <c r="A1458" s="62" t="str">
        <f ca="1" t="shared" si="316"/>
        <v xml:space="preserve">Прочая закупка товаров, работ и услуг для обеспечения муниципальных нужд         </v>
      </c>
      <c r="B1458" s="44" t="s">
        <v>314</v>
      </c>
      <c r="C1458" s="8" t="s">
        <v>225</v>
      </c>
      <c r="D1458" s="8" t="s">
        <v>229</v>
      </c>
      <c r="E1458" s="115">
        <v>244</v>
      </c>
      <c r="F1458" s="7">
        <f>'прил.5'!G1629</f>
        <v>15.4</v>
      </c>
      <c r="G1458" s="7">
        <f>'прил.5'!H1629</f>
        <v>0</v>
      </c>
      <c r="H1458" s="36">
        <f t="shared" si="311"/>
        <v>15.4</v>
      </c>
      <c r="I1458" s="7">
        <f>'прил.5'!J1629</f>
        <v>0</v>
      </c>
      <c r="J1458" s="36">
        <f t="shared" si="309"/>
        <v>15.4</v>
      </c>
      <c r="K1458" s="7">
        <f>'прил.5'!L1629</f>
        <v>0</v>
      </c>
      <c r="L1458" s="36">
        <f t="shared" si="315"/>
        <v>15.4</v>
      </c>
      <c r="M1458" s="7">
        <f>'прил.5'!N1629</f>
        <v>0</v>
      </c>
      <c r="N1458" s="36">
        <f t="shared" si="310"/>
        <v>15.4</v>
      </c>
      <c r="O1458" s="7">
        <f>'прил.5'!P1629</f>
        <v>0</v>
      </c>
      <c r="P1458" s="36">
        <f t="shared" si="308"/>
        <v>15.4</v>
      </c>
      <c r="Q1458" s="7">
        <f>'прил.5'!R1629</f>
        <v>0</v>
      </c>
      <c r="R1458" s="36">
        <f t="shared" si="306"/>
        <v>15.4</v>
      </c>
    </row>
    <row r="1459" spans="1:18" ht="12.75">
      <c r="A1459" s="62" t="str">
        <f ca="1" t="shared" si="316"/>
        <v>Иные бюджетные ассигнования</v>
      </c>
      <c r="B1459" s="44" t="s">
        <v>314</v>
      </c>
      <c r="C1459" s="8" t="s">
        <v>225</v>
      </c>
      <c r="D1459" s="8" t="s">
        <v>229</v>
      </c>
      <c r="E1459" s="115">
        <v>800</v>
      </c>
      <c r="F1459" s="7">
        <f>F1460</f>
        <v>2</v>
      </c>
      <c r="G1459" s="7">
        <f>G1460</f>
        <v>0</v>
      </c>
      <c r="H1459" s="36">
        <f t="shared" si="311"/>
        <v>2</v>
      </c>
      <c r="I1459" s="7">
        <f>I1460</f>
        <v>0</v>
      </c>
      <c r="J1459" s="36">
        <f t="shared" si="309"/>
        <v>2</v>
      </c>
      <c r="K1459" s="7">
        <f>K1460</f>
        <v>0</v>
      </c>
      <c r="L1459" s="36">
        <f t="shared" si="315"/>
        <v>2</v>
      </c>
      <c r="M1459" s="7">
        <f>M1460</f>
        <v>0</v>
      </c>
      <c r="N1459" s="36">
        <f t="shared" si="310"/>
        <v>2</v>
      </c>
      <c r="O1459" s="7">
        <f>O1460</f>
        <v>0</v>
      </c>
      <c r="P1459" s="36">
        <f t="shared" si="308"/>
        <v>2</v>
      </c>
      <c r="Q1459" s="7">
        <f>Q1460</f>
        <v>0</v>
      </c>
      <c r="R1459" s="36">
        <f t="shared" si="306"/>
        <v>2</v>
      </c>
    </row>
    <row r="1460" spans="1:18" ht="12.75">
      <c r="A1460" s="62" t="str">
        <f ca="1" t="shared" si="316"/>
        <v>Уплата налогов, сборов и иных платежей</v>
      </c>
      <c r="B1460" s="44" t="s">
        <v>314</v>
      </c>
      <c r="C1460" s="8" t="s">
        <v>225</v>
      </c>
      <c r="D1460" s="8" t="s">
        <v>229</v>
      </c>
      <c r="E1460" s="115">
        <v>850</v>
      </c>
      <c r="F1460" s="7">
        <f>F1461</f>
        <v>2</v>
      </c>
      <c r="G1460" s="7">
        <f>G1461</f>
        <v>0</v>
      </c>
      <c r="H1460" s="36">
        <f t="shared" si="311"/>
        <v>2</v>
      </c>
      <c r="I1460" s="7">
        <f>I1461</f>
        <v>0</v>
      </c>
      <c r="J1460" s="36">
        <f t="shared" si="309"/>
        <v>2</v>
      </c>
      <c r="K1460" s="7">
        <f>K1461</f>
        <v>0</v>
      </c>
      <c r="L1460" s="36">
        <f t="shared" si="315"/>
        <v>2</v>
      </c>
      <c r="M1460" s="7">
        <f>M1461</f>
        <v>0</v>
      </c>
      <c r="N1460" s="36">
        <f t="shared" si="310"/>
        <v>2</v>
      </c>
      <c r="O1460" s="7">
        <f>O1461</f>
        <v>0</v>
      </c>
      <c r="P1460" s="36">
        <f t="shared" si="308"/>
        <v>2</v>
      </c>
      <c r="Q1460" s="7">
        <f>Q1461</f>
        <v>0</v>
      </c>
      <c r="R1460" s="36">
        <f t="shared" si="306"/>
        <v>2</v>
      </c>
    </row>
    <row r="1461" spans="1:18" ht="12.75">
      <c r="A1461" s="62" t="str">
        <f ca="1" t="shared" si="316"/>
        <v>Уплата прочих налогов, сборов и иных платежей</v>
      </c>
      <c r="B1461" s="44" t="s">
        <v>314</v>
      </c>
      <c r="C1461" s="8" t="s">
        <v>225</v>
      </c>
      <c r="D1461" s="8" t="s">
        <v>229</v>
      </c>
      <c r="E1461" s="115">
        <v>852</v>
      </c>
      <c r="F1461" s="7">
        <f>'прил.5'!G1632</f>
        <v>2</v>
      </c>
      <c r="G1461" s="7">
        <f>'прил.5'!H1632</f>
        <v>0</v>
      </c>
      <c r="H1461" s="36">
        <f t="shared" si="311"/>
        <v>2</v>
      </c>
      <c r="I1461" s="7">
        <f>'прил.5'!J1632</f>
        <v>0</v>
      </c>
      <c r="J1461" s="36">
        <f t="shared" si="309"/>
        <v>2</v>
      </c>
      <c r="K1461" s="7">
        <f>'прил.5'!L1632</f>
        <v>0</v>
      </c>
      <c r="L1461" s="36">
        <f t="shared" si="315"/>
        <v>2</v>
      </c>
      <c r="M1461" s="7">
        <f>'прил.5'!N1632</f>
        <v>0</v>
      </c>
      <c r="N1461" s="36">
        <f t="shared" si="310"/>
        <v>2</v>
      </c>
      <c r="O1461" s="7">
        <f>'прил.5'!P1632</f>
        <v>0</v>
      </c>
      <c r="P1461" s="36">
        <f t="shared" si="308"/>
        <v>2</v>
      </c>
      <c r="Q1461" s="7">
        <f>'прил.5'!R1632</f>
        <v>0</v>
      </c>
      <c r="R1461" s="36">
        <f t="shared" si="306"/>
        <v>2</v>
      </c>
    </row>
    <row r="1462" spans="1:18" ht="12.75">
      <c r="A1462" s="62" t="str">
        <f ca="1">IF(ISERROR(MATCH(C1462,Код_Раздел,0)),"",INDIRECT(ADDRESS(MATCH(C1462,Код_Раздел,0)+1,2,,,"Раздел")))</f>
        <v>Образование</v>
      </c>
      <c r="B1462" s="44" t="s">
        <v>314</v>
      </c>
      <c r="C1462" s="8" t="s">
        <v>203</v>
      </c>
      <c r="D1462" s="1"/>
      <c r="E1462" s="115"/>
      <c r="F1462" s="7">
        <f>F1463</f>
        <v>20820.6</v>
      </c>
      <c r="G1462" s="7">
        <f>G1463</f>
        <v>0</v>
      </c>
      <c r="H1462" s="36">
        <f t="shared" si="311"/>
        <v>20820.6</v>
      </c>
      <c r="I1462" s="7">
        <f>I1463</f>
        <v>0</v>
      </c>
      <c r="J1462" s="36">
        <f t="shared" si="309"/>
        <v>20820.6</v>
      </c>
      <c r="K1462" s="7">
        <f>K1463</f>
        <v>0</v>
      </c>
      <c r="L1462" s="36">
        <f t="shared" si="315"/>
        <v>20820.6</v>
      </c>
      <c r="M1462" s="7">
        <f>M1463</f>
        <v>0</v>
      </c>
      <c r="N1462" s="36">
        <f t="shared" si="310"/>
        <v>20820.6</v>
      </c>
      <c r="O1462" s="7">
        <f>O1463</f>
        <v>0</v>
      </c>
      <c r="P1462" s="36">
        <f t="shared" si="308"/>
        <v>20820.6</v>
      </c>
      <c r="Q1462" s="7">
        <f>Q1463</f>
        <v>0</v>
      </c>
      <c r="R1462" s="36">
        <f t="shared" si="306"/>
        <v>20820.6</v>
      </c>
    </row>
    <row r="1463" spans="1:18" ht="12.75">
      <c r="A1463" s="12" t="s">
        <v>259</v>
      </c>
      <c r="B1463" s="44" t="s">
        <v>314</v>
      </c>
      <c r="C1463" s="8" t="s">
        <v>203</v>
      </c>
      <c r="D1463" s="1" t="s">
        <v>227</v>
      </c>
      <c r="E1463" s="115"/>
      <c r="F1463" s="7">
        <f>F1464+F1466</f>
        <v>20820.6</v>
      </c>
      <c r="G1463" s="7">
        <f>G1464+G1466</f>
        <v>0</v>
      </c>
      <c r="H1463" s="36">
        <f t="shared" si="311"/>
        <v>20820.6</v>
      </c>
      <c r="I1463" s="7">
        <f>I1464+I1466</f>
        <v>0</v>
      </c>
      <c r="J1463" s="36">
        <f t="shared" si="309"/>
        <v>20820.6</v>
      </c>
      <c r="K1463" s="7">
        <f>K1464+K1466</f>
        <v>0</v>
      </c>
      <c r="L1463" s="36">
        <f t="shared" si="315"/>
        <v>20820.6</v>
      </c>
      <c r="M1463" s="7">
        <f>M1464+M1466</f>
        <v>0</v>
      </c>
      <c r="N1463" s="36">
        <f t="shared" si="310"/>
        <v>20820.6</v>
      </c>
      <c r="O1463" s="7">
        <f>O1464+O1466</f>
        <v>0</v>
      </c>
      <c r="P1463" s="36">
        <f t="shared" si="308"/>
        <v>20820.6</v>
      </c>
      <c r="Q1463" s="7">
        <f>Q1464+Q1466</f>
        <v>0</v>
      </c>
      <c r="R1463" s="36">
        <f t="shared" si="306"/>
        <v>20820.6</v>
      </c>
    </row>
    <row r="1464" spans="1:18" ht="33">
      <c r="A1464" s="62" t="str">
        <f ca="1">IF(ISERROR(MATCH(E1464,Код_КВР,0)),"",INDIRECT(ADDRESS(MATCH(E1464,Код_КВР,0)+1,2,,,"КВР")))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64" s="44" t="s">
        <v>314</v>
      </c>
      <c r="C1464" s="8" t="s">
        <v>203</v>
      </c>
      <c r="D1464" s="1" t="s">
        <v>227</v>
      </c>
      <c r="E1464" s="115">
        <v>100</v>
      </c>
      <c r="F1464" s="7">
        <f>F1465</f>
        <v>20763</v>
      </c>
      <c r="G1464" s="7">
        <f>G1465</f>
        <v>0</v>
      </c>
      <c r="H1464" s="36">
        <f t="shared" si="311"/>
        <v>20763</v>
      </c>
      <c r="I1464" s="7">
        <f>I1465</f>
        <v>0</v>
      </c>
      <c r="J1464" s="36">
        <f t="shared" si="309"/>
        <v>20763</v>
      </c>
      <c r="K1464" s="7">
        <f>K1465</f>
        <v>0</v>
      </c>
      <c r="L1464" s="36">
        <f t="shared" si="315"/>
        <v>20763</v>
      </c>
      <c r="M1464" s="7">
        <f>M1465</f>
        <v>0</v>
      </c>
      <c r="N1464" s="36">
        <f t="shared" si="310"/>
        <v>20763</v>
      </c>
      <c r="O1464" s="7">
        <f>O1465</f>
        <v>0</v>
      </c>
      <c r="P1464" s="36">
        <f t="shared" si="308"/>
        <v>20763</v>
      </c>
      <c r="Q1464" s="7">
        <f>Q1465</f>
        <v>0</v>
      </c>
      <c r="R1464" s="36">
        <f t="shared" si="306"/>
        <v>20763</v>
      </c>
    </row>
    <row r="1465" spans="1:18" ht="12.75">
      <c r="A1465" s="62" t="str">
        <f ca="1">IF(ISERROR(MATCH(E1465,Код_КВР,0)),"",INDIRECT(ADDRESS(MATCH(E1465,Код_КВР,0)+1,2,,,"КВР")))</f>
        <v>Расходы на выплаты персоналу муниципальных органов</v>
      </c>
      <c r="B1465" s="44" t="s">
        <v>314</v>
      </c>
      <c r="C1465" s="8" t="s">
        <v>203</v>
      </c>
      <c r="D1465" s="1" t="s">
        <v>227</v>
      </c>
      <c r="E1465" s="115">
        <v>120</v>
      </c>
      <c r="F1465" s="7">
        <f>'прил.5'!G791</f>
        <v>20763</v>
      </c>
      <c r="G1465" s="7">
        <f>'прил.5'!H791</f>
        <v>0</v>
      </c>
      <c r="H1465" s="36">
        <f t="shared" si="311"/>
        <v>20763</v>
      </c>
      <c r="I1465" s="7">
        <f>'прил.5'!J791</f>
        <v>0</v>
      </c>
      <c r="J1465" s="36">
        <f t="shared" si="309"/>
        <v>20763</v>
      </c>
      <c r="K1465" s="7">
        <f>'прил.5'!L791</f>
        <v>0</v>
      </c>
      <c r="L1465" s="36">
        <f t="shared" si="315"/>
        <v>20763</v>
      </c>
      <c r="M1465" s="7">
        <f>'прил.5'!N791</f>
        <v>0</v>
      </c>
      <c r="N1465" s="36">
        <f t="shared" si="310"/>
        <v>20763</v>
      </c>
      <c r="O1465" s="7">
        <f>'прил.5'!P791</f>
        <v>0</v>
      </c>
      <c r="P1465" s="36">
        <f t="shared" si="308"/>
        <v>20763</v>
      </c>
      <c r="Q1465" s="7">
        <f>'прил.5'!R791</f>
        <v>0</v>
      </c>
      <c r="R1465" s="36">
        <f t="shared" si="306"/>
        <v>20763</v>
      </c>
    </row>
    <row r="1466" spans="1:18" ht="12.75">
      <c r="A1466" s="62" t="str">
        <f ca="1">IF(ISERROR(MATCH(E1466,Код_КВР,0)),"",INDIRECT(ADDRESS(MATCH(E1466,Код_КВР,0)+1,2,,,"КВР")))</f>
        <v>Закупка товаров, работ и услуг для муниципальных нужд</v>
      </c>
      <c r="B1466" s="44" t="s">
        <v>314</v>
      </c>
      <c r="C1466" s="8" t="s">
        <v>203</v>
      </c>
      <c r="D1466" s="1" t="s">
        <v>227</v>
      </c>
      <c r="E1466" s="115">
        <v>200</v>
      </c>
      <c r="F1466" s="7">
        <f>F1467</f>
        <v>57.6</v>
      </c>
      <c r="G1466" s="7">
        <f>G1467</f>
        <v>0</v>
      </c>
      <c r="H1466" s="36">
        <f t="shared" si="311"/>
        <v>57.6</v>
      </c>
      <c r="I1466" s="7">
        <f>I1467</f>
        <v>0</v>
      </c>
      <c r="J1466" s="36">
        <f t="shared" si="309"/>
        <v>57.6</v>
      </c>
      <c r="K1466" s="7">
        <f>K1467</f>
        <v>0</v>
      </c>
      <c r="L1466" s="36">
        <f t="shared" si="315"/>
        <v>57.6</v>
      </c>
      <c r="M1466" s="7">
        <f>M1467</f>
        <v>0</v>
      </c>
      <c r="N1466" s="36">
        <f t="shared" si="310"/>
        <v>57.6</v>
      </c>
      <c r="O1466" s="7">
        <f>O1467</f>
        <v>0</v>
      </c>
      <c r="P1466" s="36">
        <f t="shared" si="308"/>
        <v>57.6</v>
      </c>
      <c r="Q1466" s="7">
        <f>Q1467</f>
        <v>0</v>
      </c>
      <c r="R1466" s="36">
        <f t="shared" si="306"/>
        <v>57.6</v>
      </c>
    </row>
    <row r="1467" spans="1:18" ht="33">
      <c r="A1467" s="62" t="str">
        <f ca="1">IF(ISERROR(MATCH(E1467,Код_КВР,0)),"",INDIRECT(ADDRESS(MATCH(E1467,Код_КВР,0)+1,2,,,"КВР")))</f>
        <v>Иные закупки товаров, работ и услуг для обеспечения муниципальных нужд</v>
      </c>
      <c r="B1467" s="44" t="s">
        <v>314</v>
      </c>
      <c r="C1467" s="8" t="s">
        <v>203</v>
      </c>
      <c r="D1467" s="1" t="s">
        <v>227</v>
      </c>
      <c r="E1467" s="115">
        <v>240</v>
      </c>
      <c r="F1467" s="7">
        <f>F1468</f>
        <v>57.6</v>
      </c>
      <c r="G1467" s="7">
        <f>G1468</f>
        <v>0</v>
      </c>
      <c r="H1467" s="36">
        <f t="shared" si="311"/>
        <v>57.6</v>
      </c>
      <c r="I1467" s="7">
        <f>I1468</f>
        <v>0</v>
      </c>
      <c r="J1467" s="36">
        <f t="shared" si="309"/>
        <v>57.6</v>
      </c>
      <c r="K1467" s="7">
        <f>K1468</f>
        <v>0</v>
      </c>
      <c r="L1467" s="36">
        <f t="shared" si="315"/>
        <v>57.6</v>
      </c>
      <c r="M1467" s="7">
        <f>M1468</f>
        <v>0</v>
      </c>
      <c r="N1467" s="36">
        <f t="shared" si="310"/>
        <v>57.6</v>
      </c>
      <c r="O1467" s="7">
        <f>O1468</f>
        <v>0</v>
      </c>
      <c r="P1467" s="36">
        <f t="shared" si="308"/>
        <v>57.6</v>
      </c>
      <c r="Q1467" s="7">
        <f>Q1468</f>
        <v>0</v>
      </c>
      <c r="R1467" s="36">
        <f t="shared" si="306"/>
        <v>57.6</v>
      </c>
    </row>
    <row r="1468" spans="1:18" ht="33">
      <c r="A1468" s="62" t="str">
        <f ca="1">IF(ISERROR(MATCH(E1468,Код_КВР,0)),"",INDIRECT(ADDRESS(MATCH(E1468,Код_КВР,0)+1,2,,,"КВР")))</f>
        <v xml:space="preserve">Прочая закупка товаров, работ и услуг для обеспечения муниципальных нужд         </v>
      </c>
      <c r="B1468" s="44" t="s">
        <v>314</v>
      </c>
      <c r="C1468" s="8" t="s">
        <v>203</v>
      </c>
      <c r="D1468" s="1" t="s">
        <v>227</v>
      </c>
      <c r="E1468" s="115">
        <v>244</v>
      </c>
      <c r="F1468" s="7">
        <f>'прил.5'!G794</f>
        <v>57.6</v>
      </c>
      <c r="G1468" s="7">
        <f>'прил.5'!H794</f>
        <v>0</v>
      </c>
      <c r="H1468" s="36">
        <f t="shared" si="311"/>
        <v>57.6</v>
      </c>
      <c r="I1468" s="7">
        <f>'прил.5'!J794</f>
        <v>0</v>
      </c>
      <c r="J1468" s="36">
        <f t="shared" si="309"/>
        <v>57.6</v>
      </c>
      <c r="K1468" s="7">
        <f>'прил.5'!L794</f>
        <v>0</v>
      </c>
      <c r="L1468" s="36">
        <f t="shared" si="315"/>
        <v>57.6</v>
      </c>
      <c r="M1468" s="7">
        <f>'прил.5'!N794</f>
        <v>0</v>
      </c>
      <c r="N1468" s="36">
        <f t="shared" si="310"/>
        <v>57.6</v>
      </c>
      <c r="O1468" s="7">
        <f>'прил.5'!P794</f>
        <v>0</v>
      </c>
      <c r="P1468" s="36">
        <f t="shared" si="308"/>
        <v>57.6</v>
      </c>
      <c r="Q1468" s="7">
        <f>'прил.5'!R794</f>
        <v>0</v>
      </c>
      <c r="R1468" s="36">
        <f t="shared" si="306"/>
        <v>57.6</v>
      </c>
    </row>
    <row r="1469" spans="1:18" ht="12.75">
      <c r="A1469" s="62" t="str">
        <f ca="1">IF(ISERROR(MATCH(C1469,Код_Раздел,0)),"",INDIRECT(ADDRESS(MATCH(C1469,Код_Раздел,0)+1,2,,,"Раздел")))</f>
        <v>Культура, кинематография</v>
      </c>
      <c r="B1469" s="44" t="s">
        <v>314</v>
      </c>
      <c r="C1469" s="8" t="s">
        <v>230</v>
      </c>
      <c r="D1469" s="1"/>
      <c r="E1469" s="115"/>
      <c r="F1469" s="7">
        <f>F1470</f>
        <v>8849.3</v>
      </c>
      <c r="G1469" s="7">
        <f>G1470</f>
        <v>0</v>
      </c>
      <c r="H1469" s="36">
        <f t="shared" si="311"/>
        <v>8849.3</v>
      </c>
      <c r="I1469" s="7">
        <f>I1470</f>
        <v>0</v>
      </c>
      <c r="J1469" s="36">
        <f t="shared" si="309"/>
        <v>8849.3</v>
      </c>
      <c r="K1469" s="7">
        <f>K1470</f>
        <v>0</v>
      </c>
      <c r="L1469" s="36">
        <f t="shared" si="315"/>
        <v>8849.3</v>
      </c>
      <c r="M1469" s="7">
        <f>M1470</f>
        <v>0</v>
      </c>
      <c r="N1469" s="36">
        <f t="shared" si="310"/>
        <v>8849.3</v>
      </c>
      <c r="O1469" s="7">
        <f>O1470</f>
        <v>0</v>
      </c>
      <c r="P1469" s="36">
        <f t="shared" si="308"/>
        <v>8849.3</v>
      </c>
      <c r="Q1469" s="7">
        <f>Q1470</f>
        <v>0</v>
      </c>
      <c r="R1469" s="36">
        <f t="shared" si="306"/>
        <v>8849.3</v>
      </c>
    </row>
    <row r="1470" spans="1:18" ht="12.75">
      <c r="A1470" s="12" t="s">
        <v>171</v>
      </c>
      <c r="B1470" s="44" t="s">
        <v>314</v>
      </c>
      <c r="C1470" s="8" t="s">
        <v>230</v>
      </c>
      <c r="D1470" s="1" t="s">
        <v>224</v>
      </c>
      <c r="E1470" s="115"/>
      <c r="F1470" s="7">
        <f>F1471+F1473+F1476</f>
        <v>8849.3</v>
      </c>
      <c r="G1470" s="7">
        <f>G1471+G1473+G1476</f>
        <v>0</v>
      </c>
      <c r="H1470" s="36">
        <f t="shared" si="311"/>
        <v>8849.3</v>
      </c>
      <c r="I1470" s="7">
        <f>I1471+I1473+I1476</f>
        <v>0</v>
      </c>
      <c r="J1470" s="36">
        <f t="shared" si="309"/>
        <v>8849.3</v>
      </c>
      <c r="K1470" s="7">
        <f>K1471+K1473+K1476</f>
        <v>0</v>
      </c>
      <c r="L1470" s="36">
        <f t="shared" si="315"/>
        <v>8849.3</v>
      </c>
      <c r="M1470" s="7">
        <f>M1471+M1473+M1476</f>
        <v>0</v>
      </c>
      <c r="N1470" s="36">
        <f t="shared" si="310"/>
        <v>8849.3</v>
      </c>
      <c r="O1470" s="7">
        <f>O1471+O1473+O1476</f>
        <v>0</v>
      </c>
      <c r="P1470" s="36">
        <f t="shared" si="308"/>
        <v>8849.3</v>
      </c>
      <c r="Q1470" s="7">
        <f>Q1471+Q1473+Q1476</f>
        <v>0</v>
      </c>
      <c r="R1470" s="36">
        <f t="shared" si="306"/>
        <v>8849.3</v>
      </c>
    </row>
    <row r="1471" spans="1:18" ht="33">
      <c r="A1471" s="62" t="str">
        <f aca="true" t="shared" si="317" ref="A1471:A1478">IF(ISERROR(MATCH(E1471,Код_КВР,0)),"",INDIRECT(ADDRESS(MATCH(E1471,Код_КВР,0)+1,2,,,"КВР")))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71" s="44" t="s">
        <v>314</v>
      </c>
      <c r="C1471" s="8" t="s">
        <v>230</v>
      </c>
      <c r="D1471" s="1" t="s">
        <v>224</v>
      </c>
      <c r="E1471" s="115">
        <v>100</v>
      </c>
      <c r="F1471" s="7">
        <f>F1472</f>
        <v>8833.5</v>
      </c>
      <c r="G1471" s="7">
        <f>G1472</f>
        <v>0</v>
      </c>
      <c r="H1471" s="36">
        <f t="shared" si="311"/>
        <v>8833.5</v>
      </c>
      <c r="I1471" s="7">
        <f>I1472</f>
        <v>0</v>
      </c>
      <c r="J1471" s="36">
        <f t="shared" si="309"/>
        <v>8833.5</v>
      </c>
      <c r="K1471" s="7">
        <f>K1472</f>
        <v>0</v>
      </c>
      <c r="L1471" s="36">
        <f t="shared" si="315"/>
        <v>8833.5</v>
      </c>
      <c r="M1471" s="7">
        <f>M1472</f>
        <v>0</v>
      </c>
      <c r="N1471" s="36">
        <f t="shared" si="310"/>
        <v>8833.5</v>
      </c>
      <c r="O1471" s="7">
        <f>O1472</f>
        <v>0</v>
      </c>
      <c r="P1471" s="36">
        <f t="shared" si="308"/>
        <v>8833.5</v>
      </c>
      <c r="Q1471" s="7">
        <f>Q1472</f>
        <v>0</v>
      </c>
      <c r="R1471" s="36">
        <f t="shared" si="306"/>
        <v>8833.5</v>
      </c>
    </row>
    <row r="1472" spans="1:18" ht="12.75">
      <c r="A1472" s="62" t="str">
        <f ca="1" t="shared" si="317"/>
        <v>Расходы на выплаты персоналу муниципальных органов</v>
      </c>
      <c r="B1472" s="44" t="s">
        <v>314</v>
      </c>
      <c r="C1472" s="8" t="s">
        <v>230</v>
      </c>
      <c r="D1472" s="1" t="s">
        <v>224</v>
      </c>
      <c r="E1472" s="115">
        <v>120</v>
      </c>
      <c r="F1472" s="7">
        <f>'прил.5'!G1126</f>
        <v>8833.5</v>
      </c>
      <c r="G1472" s="7">
        <f>'прил.5'!H1126</f>
        <v>0</v>
      </c>
      <c r="H1472" s="36">
        <f t="shared" si="311"/>
        <v>8833.5</v>
      </c>
      <c r="I1472" s="7">
        <f>'прил.5'!J1126</f>
        <v>0</v>
      </c>
      <c r="J1472" s="36">
        <f t="shared" si="309"/>
        <v>8833.5</v>
      </c>
      <c r="K1472" s="7">
        <f>'прил.5'!L1126</f>
        <v>0</v>
      </c>
      <c r="L1472" s="36">
        <f t="shared" si="315"/>
        <v>8833.5</v>
      </c>
      <c r="M1472" s="7">
        <f>'прил.5'!N1126</f>
        <v>0</v>
      </c>
      <c r="N1472" s="36">
        <f t="shared" si="310"/>
        <v>8833.5</v>
      </c>
      <c r="O1472" s="7">
        <f>'прил.5'!P1126</f>
        <v>0</v>
      </c>
      <c r="P1472" s="36">
        <f t="shared" si="308"/>
        <v>8833.5</v>
      </c>
      <c r="Q1472" s="7">
        <f>'прил.5'!R1126</f>
        <v>0</v>
      </c>
      <c r="R1472" s="36">
        <f t="shared" si="306"/>
        <v>8833.5</v>
      </c>
    </row>
    <row r="1473" spans="1:18" ht="12.75">
      <c r="A1473" s="62" t="str">
        <f ca="1" t="shared" si="317"/>
        <v>Закупка товаров, работ и услуг для муниципальных нужд</v>
      </c>
      <c r="B1473" s="44" t="s">
        <v>314</v>
      </c>
      <c r="C1473" s="8" t="s">
        <v>230</v>
      </c>
      <c r="D1473" s="1" t="s">
        <v>224</v>
      </c>
      <c r="E1473" s="115">
        <v>200</v>
      </c>
      <c r="F1473" s="7">
        <f>F1474</f>
        <v>14.3</v>
      </c>
      <c r="G1473" s="7">
        <f>G1474</f>
        <v>0</v>
      </c>
      <c r="H1473" s="36">
        <f t="shared" si="311"/>
        <v>14.3</v>
      </c>
      <c r="I1473" s="7">
        <f>I1474</f>
        <v>0</v>
      </c>
      <c r="J1473" s="36">
        <f t="shared" si="309"/>
        <v>14.3</v>
      </c>
      <c r="K1473" s="7">
        <f>K1474</f>
        <v>0</v>
      </c>
      <c r="L1473" s="36">
        <f t="shared" si="315"/>
        <v>14.3</v>
      </c>
      <c r="M1473" s="7">
        <f>M1474</f>
        <v>0</v>
      </c>
      <c r="N1473" s="36">
        <f t="shared" si="310"/>
        <v>14.3</v>
      </c>
      <c r="O1473" s="7">
        <f>O1474</f>
        <v>0</v>
      </c>
      <c r="P1473" s="36">
        <f t="shared" si="308"/>
        <v>14.3</v>
      </c>
      <c r="Q1473" s="7">
        <f>Q1474</f>
        <v>0</v>
      </c>
      <c r="R1473" s="36">
        <f t="shared" si="306"/>
        <v>14.3</v>
      </c>
    </row>
    <row r="1474" spans="1:18" ht="33">
      <c r="A1474" s="62" t="str">
        <f ca="1" t="shared" si="317"/>
        <v>Иные закупки товаров, работ и услуг для обеспечения муниципальных нужд</v>
      </c>
      <c r="B1474" s="44" t="s">
        <v>314</v>
      </c>
      <c r="C1474" s="8" t="s">
        <v>230</v>
      </c>
      <c r="D1474" s="1" t="s">
        <v>224</v>
      </c>
      <c r="E1474" s="115">
        <v>240</v>
      </c>
      <c r="F1474" s="7">
        <f>F1475</f>
        <v>14.3</v>
      </c>
      <c r="G1474" s="7">
        <f>G1475</f>
        <v>0</v>
      </c>
      <c r="H1474" s="36">
        <f t="shared" si="311"/>
        <v>14.3</v>
      </c>
      <c r="I1474" s="7">
        <f>I1475</f>
        <v>0</v>
      </c>
      <c r="J1474" s="36">
        <f t="shared" si="309"/>
        <v>14.3</v>
      </c>
      <c r="K1474" s="7">
        <f>K1475</f>
        <v>0</v>
      </c>
      <c r="L1474" s="36">
        <f t="shared" si="315"/>
        <v>14.3</v>
      </c>
      <c r="M1474" s="7">
        <f>M1475</f>
        <v>0</v>
      </c>
      <c r="N1474" s="36">
        <f t="shared" si="310"/>
        <v>14.3</v>
      </c>
      <c r="O1474" s="7">
        <f>O1475</f>
        <v>0</v>
      </c>
      <c r="P1474" s="36">
        <f t="shared" si="308"/>
        <v>14.3</v>
      </c>
      <c r="Q1474" s="7">
        <f>Q1475</f>
        <v>0</v>
      </c>
      <c r="R1474" s="36">
        <f t="shared" si="306"/>
        <v>14.3</v>
      </c>
    </row>
    <row r="1475" spans="1:18" ht="33">
      <c r="A1475" s="62" t="str">
        <f ca="1" t="shared" si="317"/>
        <v xml:space="preserve">Прочая закупка товаров, работ и услуг для обеспечения муниципальных нужд         </v>
      </c>
      <c r="B1475" s="44" t="s">
        <v>314</v>
      </c>
      <c r="C1475" s="8" t="s">
        <v>230</v>
      </c>
      <c r="D1475" s="1" t="s">
        <v>224</v>
      </c>
      <c r="E1475" s="115">
        <v>244</v>
      </c>
      <c r="F1475" s="7">
        <f>'прил.5'!G1129</f>
        <v>14.3</v>
      </c>
      <c r="G1475" s="7">
        <f>'прил.5'!H1129</f>
        <v>0</v>
      </c>
      <c r="H1475" s="36">
        <f t="shared" si="311"/>
        <v>14.3</v>
      </c>
      <c r="I1475" s="7">
        <f>'прил.5'!J1129</f>
        <v>0</v>
      </c>
      <c r="J1475" s="36">
        <f t="shared" si="309"/>
        <v>14.3</v>
      </c>
      <c r="K1475" s="7">
        <f>'прил.5'!L1129</f>
        <v>0</v>
      </c>
      <c r="L1475" s="36">
        <f t="shared" si="315"/>
        <v>14.3</v>
      </c>
      <c r="M1475" s="7">
        <f>'прил.5'!N1129</f>
        <v>0</v>
      </c>
      <c r="N1475" s="36">
        <f t="shared" si="310"/>
        <v>14.3</v>
      </c>
      <c r="O1475" s="7">
        <f>'прил.5'!P1129</f>
        <v>0</v>
      </c>
      <c r="P1475" s="36">
        <f t="shared" si="308"/>
        <v>14.3</v>
      </c>
      <c r="Q1475" s="7">
        <f>'прил.5'!R1129</f>
        <v>0</v>
      </c>
      <c r="R1475" s="36">
        <f t="shared" si="306"/>
        <v>14.3</v>
      </c>
    </row>
    <row r="1476" spans="1:18" ht="12.75">
      <c r="A1476" s="62" t="str">
        <f ca="1" t="shared" si="317"/>
        <v>Иные бюджетные ассигнования</v>
      </c>
      <c r="B1476" s="44" t="s">
        <v>314</v>
      </c>
      <c r="C1476" s="8" t="s">
        <v>230</v>
      </c>
      <c r="D1476" s="1" t="s">
        <v>224</v>
      </c>
      <c r="E1476" s="115">
        <v>800</v>
      </c>
      <c r="F1476" s="7">
        <f>F1477</f>
        <v>1.5</v>
      </c>
      <c r="G1476" s="7">
        <f>G1477</f>
        <v>0</v>
      </c>
      <c r="H1476" s="36">
        <f t="shared" si="311"/>
        <v>1.5</v>
      </c>
      <c r="I1476" s="7">
        <f>I1477</f>
        <v>0</v>
      </c>
      <c r="J1476" s="36">
        <f t="shared" si="309"/>
        <v>1.5</v>
      </c>
      <c r="K1476" s="7">
        <f>K1477</f>
        <v>0</v>
      </c>
      <c r="L1476" s="36">
        <f t="shared" si="315"/>
        <v>1.5</v>
      </c>
      <c r="M1476" s="7">
        <f>M1477</f>
        <v>0</v>
      </c>
      <c r="N1476" s="36">
        <f t="shared" si="310"/>
        <v>1.5</v>
      </c>
      <c r="O1476" s="7">
        <f>O1477</f>
        <v>0</v>
      </c>
      <c r="P1476" s="36">
        <f t="shared" si="308"/>
        <v>1.5</v>
      </c>
      <c r="Q1476" s="7">
        <f>Q1477</f>
        <v>0</v>
      </c>
      <c r="R1476" s="36">
        <f t="shared" si="306"/>
        <v>1.5</v>
      </c>
    </row>
    <row r="1477" spans="1:18" ht="12.75">
      <c r="A1477" s="62" t="str">
        <f ca="1" t="shared" si="317"/>
        <v>Уплата налогов, сборов и иных платежей</v>
      </c>
      <c r="B1477" s="44" t="s">
        <v>314</v>
      </c>
      <c r="C1477" s="8" t="s">
        <v>230</v>
      </c>
      <c r="D1477" s="1" t="s">
        <v>224</v>
      </c>
      <c r="E1477" s="115">
        <v>850</v>
      </c>
      <c r="F1477" s="7">
        <f>F1478</f>
        <v>1.5</v>
      </c>
      <c r="G1477" s="7">
        <f>G1478</f>
        <v>0</v>
      </c>
      <c r="H1477" s="36">
        <f t="shared" si="311"/>
        <v>1.5</v>
      </c>
      <c r="I1477" s="7">
        <f>I1478</f>
        <v>0</v>
      </c>
      <c r="J1477" s="36">
        <f t="shared" si="309"/>
        <v>1.5</v>
      </c>
      <c r="K1477" s="7">
        <f>K1478</f>
        <v>0</v>
      </c>
      <c r="L1477" s="36">
        <f t="shared" si="315"/>
        <v>1.5</v>
      </c>
      <c r="M1477" s="7">
        <f>M1478</f>
        <v>0</v>
      </c>
      <c r="N1477" s="36">
        <f t="shared" si="310"/>
        <v>1.5</v>
      </c>
      <c r="O1477" s="7">
        <f>O1478</f>
        <v>0</v>
      </c>
      <c r="P1477" s="36">
        <f t="shared" si="308"/>
        <v>1.5</v>
      </c>
      <c r="Q1477" s="7">
        <f>Q1478</f>
        <v>0</v>
      </c>
      <c r="R1477" s="36">
        <f t="shared" si="306"/>
        <v>1.5</v>
      </c>
    </row>
    <row r="1478" spans="1:18" ht="12.75">
      <c r="A1478" s="62" t="str">
        <f ca="1" t="shared" si="317"/>
        <v>Уплата прочих налогов, сборов и иных платежей</v>
      </c>
      <c r="B1478" s="44" t="s">
        <v>314</v>
      </c>
      <c r="C1478" s="8" t="s">
        <v>230</v>
      </c>
      <c r="D1478" s="1" t="s">
        <v>224</v>
      </c>
      <c r="E1478" s="115">
        <v>852</v>
      </c>
      <c r="F1478" s="7">
        <f>'прил.5'!G1132</f>
        <v>1.5</v>
      </c>
      <c r="G1478" s="7">
        <f>'прил.5'!H1132</f>
        <v>0</v>
      </c>
      <c r="H1478" s="36">
        <f t="shared" si="311"/>
        <v>1.5</v>
      </c>
      <c r="I1478" s="7">
        <f>'прил.5'!J1132</f>
        <v>0</v>
      </c>
      <c r="J1478" s="36">
        <f t="shared" si="309"/>
        <v>1.5</v>
      </c>
      <c r="K1478" s="7">
        <f>'прил.5'!L1132</f>
        <v>0</v>
      </c>
      <c r="L1478" s="36">
        <f t="shared" si="315"/>
        <v>1.5</v>
      </c>
      <c r="M1478" s="7">
        <f>'прил.5'!N1132</f>
        <v>0</v>
      </c>
      <c r="N1478" s="36">
        <f t="shared" si="310"/>
        <v>1.5</v>
      </c>
      <c r="O1478" s="7">
        <f>'прил.5'!P1132</f>
        <v>0</v>
      </c>
      <c r="P1478" s="36">
        <f t="shared" si="308"/>
        <v>1.5</v>
      </c>
      <c r="Q1478" s="7">
        <f>'прил.5'!R1132</f>
        <v>0</v>
      </c>
      <c r="R1478" s="36">
        <f t="shared" si="306"/>
        <v>1.5</v>
      </c>
    </row>
    <row r="1479" spans="1:18" ht="12.75">
      <c r="A1479" s="62" t="str">
        <f ca="1">IF(ISERROR(MATCH(C1479,Код_Раздел,0)),"",INDIRECT(ADDRESS(MATCH(C1479,Код_Раздел,0)+1,2,,,"Раздел")))</f>
        <v>Социальная политика</v>
      </c>
      <c r="B1479" s="44" t="s">
        <v>314</v>
      </c>
      <c r="C1479" s="8" t="s">
        <v>196</v>
      </c>
      <c r="D1479" s="1"/>
      <c r="E1479" s="115"/>
      <c r="F1479" s="7">
        <f>F1480</f>
        <v>15807.9</v>
      </c>
      <c r="G1479" s="7">
        <f>G1480</f>
        <v>0</v>
      </c>
      <c r="H1479" s="36">
        <f t="shared" si="311"/>
        <v>15807.9</v>
      </c>
      <c r="I1479" s="7">
        <f>I1480</f>
        <v>-718.2</v>
      </c>
      <c r="J1479" s="36">
        <f t="shared" si="309"/>
        <v>15089.699999999999</v>
      </c>
      <c r="K1479" s="7">
        <f>K1480</f>
        <v>0</v>
      </c>
      <c r="L1479" s="36">
        <f t="shared" si="315"/>
        <v>15089.699999999999</v>
      </c>
      <c r="M1479" s="7">
        <f>M1480</f>
        <v>0</v>
      </c>
      <c r="N1479" s="36">
        <f t="shared" si="310"/>
        <v>15089.699999999999</v>
      </c>
      <c r="O1479" s="7">
        <f>O1480</f>
        <v>0</v>
      </c>
      <c r="P1479" s="36">
        <f t="shared" si="308"/>
        <v>15089.699999999999</v>
      </c>
      <c r="Q1479" s="7">
        <f>Q1480</f>
        <v>-1213.8</v>
      </c>
      <c r="R1479" s="36">
        <f aca="true" t="shared" si="318" ref="R1479:R1542">P1479+Q1479</f>
        <v>13875.9</v>
      </c>
    </row>
    <row r="1480" spans="1:18" ht="12.75">
      <c r="A1480" s="12" t="s">
        <v>197</v>
      </c>
      <c r="B1480" s="44" t="s">
        <v>314</v>
      </c>
      <c r="C1480" s="8" t="s">
        <v>196</v>
      </c>
      <c r="D1480" s="1" t="s">
        <v>225</v>
      </c>
      <c r="E1480" s="115"/>
      <c r="F1480" s="7">
        <f>F1481+F1483</f>
        <v>15807.9</v>
      </c>
      <c r="G1480" s="7">
        <f>G1481+G1483</f>
        <v>0</v>
      </c>
      <c r="H1480" s="36">
        <f t="shared" si="311"/>
        <v>15807.9</v>
      </c>
      <c r="I1480" s="7">
        <f>I1481+I1483</f>
        <v>-718.2</v>
      </c>
      <c r="J1480" s="36">
        <f t="shared" si="309"/>
        <v>15089.699999999999</v>
      </c>
      <c r="K1480" s="7">
        <f>K1481+K1483</f>
        <v>0</v>
      </c>
      <c r="L1480" s="36">
        <f t="shared" si="315"/>
        <v>15089.699999999999</v>
      </c>
      <c r="M1480" s="7">
        <f>M1481+M1483</f>
        <v>0</v>
      </c>
      <c r="N1480" s="36">
        <f t="shared" si="310"/>
        <v>15089.699999999999</v>
      </c>
      <c r="O1480" s="7">
        <f>O1481+O1483</f>
        <v>0</v>
      </c>
      <c r="P1480" s="36">
        <f t="shared" si="308"/>
        <v>15089.699999999999</v>
      </c>
      <c r="Q1480" s="7">
        <f>Q1481+Q1483</f>
        <v>-1213.8</v>
      </c>
      <c r="R1480" s="36">
        <f t="shared" si="318"/>
        <v>13875.9</v>
      </c>
    </row>
    <row r="1481" spans="1:18" ht="39" customHeight="1">
      <c r="A1481" s="62" t="str">
        <f ca="1">IF(ISERROR(MATCH(E1481,Код_КВР,0)),"",INDIRECT(ADDRESS(MATCH(E1481,Код_КВР,0)+1,2,,,"КВР")))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1" s="44" t="s">
        <v>314</v>
      </c>
      <c r="C1481" s="8" t="s">
        <v>196</v>
      </c>
      <c r="D1481" s="1" t="s">
        <v>225</v>
      </c>
      <c r="E1481" s="115">
        <v>100</v>
      </c>
      <c r="F1481" s="7">
        <f>F1482</f>
        <v>14842.3</v>
      </c>
      <c r="G1481" s="7">
        <f>G1482</f>
        <v>0</v>
      </c>
      <c r="H1481" s="36">
        <f t="shared" si="311"/>
        <v>14842.3</v>
      </c>
      <c r="I1481" s="7">
        <f>I1482</f>
        <v>0</v>
      </c>
      <c r="J1481" s="36">
        <f t="shared" si="309"/>
        <v>14842.3</v>
      </c>
      <c r="K1481" s="7">
        <f>K1482</f>
        <v>0</v>
      </c>
      <c r="L1481" s="36">
        <f t="shared" si="315"/>
        <v>14842.3</v>
      </c>
      <c r="M1481" s="7">
        <f>M1482</f>
        <v>0</v>
      </c>
      <c r="N1481" s="36">
        <f t="shared" si="310"/>
        <v>14842.3</v>
      </c>
      <c r="O1481" s="7">
        <f>O1482</f>
        <v>0</v>
      </c>
      <c r="P1481" s="36">
        <f t="shared" si="308"/>
        <v>14842.3</v>
      </c>
      <c r="Q1481" s="7">
        <f>Q1482</f>
        <v>-1213.8</v>
      </c>
      <c r="R1481" s="36">
        <f t="shared" si="318"/>
        <v>13628.5</v>
      </c>
    </row>
    <row r="1482" spans="1:18" ht="12.75">
      <c r="A1482" s="62" t="str">
        <f ca="1">IF(ISERROR(MATCH(E1482,Код_КВР,0)),"",INDIRECT(ADDRESS(MATCH(E1482,Код_КВР,0)+1,2,,,"КВР")))</f>
        <v>Расходы на выплаты персоналу муниципальных органов</v>
      </c>
      <c r="B1482" s="44" t="s">
        <v>314</v>
      </c>
      <c r="C1482" s="8" t="s">
        <v>196</v>
      </c>
      <c r="D1482" s="1" t="s">
        <v>225</v>
      </c>
      <c r="E1482" s="115">
        <v>120</v>
      </c>
      <c r="F1482" s="7">
        <f>'прил.5'!G1350</f>
        <v>14842.3</v>
      </c>
      <c r="G1482" s="7">
        <f>'прил.5'!H1350</f>
        <v>0</v>
      </c>
      <c r="H1482" s="36">
        <f t="shared" si="311"/>
        <v>14842.3</v>
      </c>
      <c r="I1482" s="7">
        <f>'прил.5'!J1350</f>
        <v>0</v>
      </c>
      <c r="J1482" s="36">
        <f t="shared" si="309"/>
        <v>14842.3</v>
      </c>
      <c r="K1482" s="7">
        <f>'прил.5'!L1350</f>
        <v>0</v>
      </c>
      <c r="L1482" s="36">
        <f t="shared" si="315"/>
        <v>14842.3</v>
      </c>
      <c r="M1482" s="7">
        <f>'прил.5'!N1350</f>
        <v>0</v>
      </c>
      <c r="N1482" s="36">
        <f t="shared" si="310"/>
        <v>14842.3</v>
      </c>
      <c r="O1482" s="7">
        <f>'прил.5'!P1350</f>
        <v>0</v>
      </c>
      <c r="P1482" s="36">
        <f t="shared" si="308"/>
        <v>14842.3</v>
      </c>
      <c r="Q1482" s="7">
        <f>'прил.5'!R1350</f>
        <v>-1213.8</v>
      </c>
      <c r="R1482" s="36">
        <f t="shared" si="318"/>
        <v>13628.5</v>
      </c>
    </row>
    <row r="1483" spans="1:18" ht="12.75">
      <c r="A1483" s="62" t="str">
        <f ca="1">IF(ISERROR(MATCH(E1483,Код_КВР,0)),"",INDIRECT(ADDRESS(MATCH(E1483,Код_КВР,0)+1,2,,,"КВР")))</f>
        <v>Закупка товаров, работ и услуг для муниципальных нужд</v>
      </c>
      <c r="B1483" s="44" t="s">
        <v>314</v>
      </c>
      <c r="C1483" s="8" t="s">
        <v>196</v>
      </c>
      <c r="D1483" s="1" t="s">
        <v>225</v>
      </c>
      <c r="E1483" s="115">
        <v>200</v>
      </c>
      <c r="F1483" s="7">
        <f>F1484</f>
        <v>965.6</v>
      </c>
      <c r="G1483" s="7">
        <f>G1484</f>
        <v>0</v>
      </c>
      <c r="H1483" s="36">
        <f t="shared" si="311"/>
        <v>965.6</v>
      </c>
      <c r="I1483" s="7">
        <f>I1484</f>
        <v>-718.2</v>
      </c>
      <c r="J1483" s="36">
        <f t="shared" si="309"/>
        <v>247.39999999999998</v>
      </c>
      <c r="K1483" s="7">
        <f>K1484</f>
        <v>0</v>
      </c>
      <c r="L1483" s="36">
        <f t="shared" si="315"/>
        <v>247.39999999999998</v>
      </c>
      <c r="M1483" s="7">
        <f>M1484</f>
        <v>0</v>
      </c>
      <c r="N1483" s="36">
        <f t="shared" si="310"/>
        <v>247.39999999999998</v>
      </c>
      <c r="O1483" s="7">
        <f>O1484</f>
        <v>0</v>
      </c>
      <c r="P1483" s="36">
        <f t="shared" si="308"/>
        <v>247.39999999999998</v>
      </c>
      <c r="Q1483" s="7">
        <f>Q1484</f>
        <v>0</v>
      </c>
      <c r="R1483" s="36">
        <f t="shared" si="318"/>
        <v>247.39999999999998</v>
      </c>
    </row>
    <row r="1484" spans="1:18" ht="33">
      <c r="A1484" s="62" t="str">
        <f ca="1">IF(ISERROR(MATCH(E1484,Код_КВР,0)),"",INDIRECT(ADDRESS(MATCH(E1484,Код_КВР,0)+1,2,,,"КВР")))</f>
        <v>Иные закупки товаров, работ и услуг для обеспечения муниципальных нужд</v>
      </c>
      <c r="B1484" s="44" t="s">
        <v>314</v>
      </c>
      <c r="C1484" s="8" t="s">
        <v>196</v>
      </c>
      <c r="D1484" s="1" t="s">
        <v>225</v>
      </c>
      <c r="E1484" s="115">
        <v>240</v>
      </c>
      <c r="F1484" s="7">
        <f>F1485</f>
        <v>965.6</v>
      </c>
      <c r="G1484" s="7">
        <f>G1485</f>
        <v>0</v>
      </c>
      <c r="H1484" s="36">
        <f t="shared" si="311"/>
        <v>965.6</v>
      </c>
      <c r="I1484" s="7">
        <f>I1485</f>
        <v>-718.2</v>
      </c>
      <c r="J1484" s="36">
        <f t="shared" si="309"/>
        <v>247.39999999999998</v>
      </c>
      <c r="K1484" s="7">
        <f>K1485</f>
        <v>0</v>
      </c>
      <c r="L1484" s="36">
        <f t="shared" si="315"/>
        <v>247.39999999999998</v>
      </c>
      <c r="M1484" s="7">
        <f>M1485</f>
        <v>0</v>
      </c>
      <c r="N1484" s="36">
        <f t="shared" si="310"/>
        <v>247.39999999999998</v>
      </c>
      <c r="O1484" s="7">
        <f>O1485</f>
        <v>0</v>
      </c>
      <c r="P1484" s="36">
        <f t="shared" si="308"/>
        <v>247.39999999999998</v>
      </c>
      <c r="Q1484" s="7">
        <f>Q1485</f>
        <v>0</v>
      </c>
      <c r="R1484" s="36">
        <f t="shared" si="318"/>
        <v>247.39999999999998</v>
      </c>
    </row>
    <row r="1485" spans="1:18" ht="33">
      <c r="A1485" s="62" t="str">
        <f ca="1">IF(ISERROR(MATCH(E1485,Код_КВР,0)),"",INDIRECT(ADDRESS(MATCH(E1485,Код_КВР,0)+1,2,,,"КВР")))</f>
        <v xml:space="preserve">Прочая закупка товаров, работ и услуг для обеспечения муниципальных нужд         </v>
      </c>
      <c r="B1485" s="44" t="s">
        <v>314</v>
      </c>
      <c r="C1485" s="8" t="s">
        <v>196</v>
      </c>
      <c r="D1485" s="1" t="s">
        <v>225</v>
      </c>
      <c r="E1485" s="115">
        <v>244</v>
      </c>
      <c r="F1485" s="7">
        <f>'прил.5'!G1353</f>
        <v>965.6</v>
      </c>
      <c r="G1485" s="7">
        <f>'прил.5'!H1353</f>
        <v>0</v>
      </c>
      <c r="H1485" s="36">
        <f t="shared" si="311"/>
        <v>965.6</v>
      </c>
      <c r="I1485" s="7">
        <f>'прил.5'!J1353</f>
        <v>-718.2</v>
      </c>
      <c r="J1485" s="36">
        <f t="shared" si="309"/>
        <v>247.39999999999998</v>
      </c>
      <c r="K1485" s="7">
        <f>'прил.5'!L1353</f>
        <v>0</v>
      </c>
      <c r="L1485" s="36">
        <f t="shared" si="315"/>
        <v>247.39999999999998</v>
      </c>
      <c r="M1485" s="7">
        <f>'прил.5'!N1353</f>
        <v>0</v>
      </c>
      <c r="N1485" s="36">
        <f t="shared" si="310"/>
        <v>247.39999999999998</v>
      </c>
      <c r="O1485" s="7">
        <f>'прил.5'!P1353</f>
        <v>0</v>
      </c>
      <c r="P1485" s="36">
        <f t="shared" si="308"/>
        <v>247.39999999999998</v>
      </c>
      <c r="Q1485" s="7">
        <f>'прил.5'!R1353</f>
        <v>0</v>
      </c>
      <c r="R1485" s="36">
        <f t="shared" si="318"/>
        <v>247.39999999999998</v>
      </c>
    </row>
    <row r="1486" spans="1:18" ht="12.75">
      <c r="A1486" s="62" t="str">
        <f ca="1">IF(ISERROR(MATCH(C1486,Код_Раздел,0)),"",INDIRECT(ADDRESS(MATCH(C1486,Код_Раздел,0)+1,2,,,"Раздел")))</f>
        <v>Физическая культура и спорт</v>
      </c>
      <c r="B1486" s="44" t="s">
        <v>314</v>
      </c>
      <c r="C1486" s="8" t="s">
        <v>232</v>
      </c>
      <c r="D1486" s="1"/>
      <c r="E1486" s="115"/>
      <c r="F1486" s="7">
        <f>F1487</f>
        <v>5855.8</v>
      </c>
      <c r="G1486" s="7">
        <f>G1487</f>
        <v>0</v>
      </c>
      <c r="H1486" s="36">
        <f t="shared" si="311"/>
        <v>5855.8</v>
      </c>
      <c r="I1486" s="7">
        <f>I1487</f>
        <v>0</v>
      </c>
      <c r="J1486" s="36">
        <f t="shared" si="309"/>
        <v>5855.8</v>
      </c>
      <c r="K1486" s="7">
        <f>K1487</f>
        <v>0</v>
      </c>
      <c r="L1486" s="36">
        <f t="shared" si="315"/>
        <v>5855.8</v>
      </c>
      <c r="M1486" s="7">
        <f>M1487</f>
        <v>0</v>
      </c>
      <c r="N1486" s="36">
        <f t="shared" si="310"/>
        <v>5855.8</v>
      </c>
      <c r="O1486" s="7">
        <f>O1487</f>
        <v>0</v>
      </c>
      <c r="P1486" s="36">
        <f t="shared" si="308"/>
        <v>5855.8</v>
      </c>
      <c r="Q1486" s="7">
        <f>Q1487</f>
        <v>0</v>
      </c>
      <c r="R1486" s="36">
        <f t="shared" si="318"/>
        <v>5855.8</v>
      </c>
    </row>
    <row r="1487" spans="1:18" ht="12.75">
      <c r="A1487" s="12" t="s">
        <v>200</v>
      </c>
      <c r="B1487" s="44" t="s">
        <v>314</v>
      </c>
      <c r="C1487" s="8" t="s">
        <v>232</v>
      </c>
      <c r="D1487" s="1" t="s">
        <v>229</v>
      </c>
      <c r="E1487" s="115"/>
      <c r="F1487" s="7">
        <f>F1488+F1490</f>
        <v>5855.8</v>
      </c>
      <c r="G1487" s="7">
        <f>G1488+G1490</f>
        <v>0</v>
      </c>
      <c r="H1487" s="36">
        <f t="shared" si="311"/>
        <v>5855.8</v>
      </c>
      <c r="I1487" s="7">
        <f>I1488+I1490</f>
        <v>0</v>
      </c>
      <c r="J1487" s="36">
        <f t="shared" si="309"/>
        <v>5855.8</v>
      </c>
      <c r="K1487" s="7">
        <f>K1488+K1490</f>
        <v>0</v>
      </c>
      <c r="L1487" s="36">
        <f t="shared" si="315"/>
        <v>5855.8</v>
      </c>
      <c r="M1487" s="7">
        <f>M1488+M1490</f>
        <v>0</v>
      </c>
      <c r="N1487" s="36">
        <f t="shared" si="310"/>
        <v>5855.8</v>
      </c>
      <c r="O1487" s="7">
        <f>O1488+O1490</f>
        <v>0</v>
      </c>
      <c r="P1487" s="36">
        <f t="shared" si="308"/>
        <v>5855.8</v>
      </c>
      <c r="Q1487" s="7">
        <f>Q1488+Q1490</f>
        <v>0</v>
      </c>
      <c r="R1487" s="36">
        <f t="shared" si="318"/>
        <v>5855.8</v>
      </c>
    </row>
    <row r="1488" spans="1:18" ht="33">
      <c r="A1488" s="62" t="str">
        <f ca="1">IF(ISERROR(MATCH(E1488,Код_КВР,0)),"",INDIRECT(ADDRESS(MATCH(E1488,Код_КВР,0)+1,2,,,"КВР")))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8" s="44" t="s">
        <v>314</v>
      </c>
      <c r="C1488" s="8" t="s">
        <v>232</v>
      </c>
      <c r="D1488" s="1" t="s">
        <v>229</v>
      </c>
      <c r="E1488" s="115">
        <v>100</v>
      </c>
      <c r="F1488" s="7">
        <f>F1489</f>
        <v>5841</v>
      </c>
      <c r="G1488" s="7">
        <f>G1489</f>
        <v>0</v>
      </c>
      <c r="H1488" s="36">
        <f t="shared" si="311"/>
        <v>5841</v>
      </c>
      <c r="I1488" s="7">
        <f>I1489</f>
        <v>0</v>
      </c>
      <c r="J1488" s="36">
        <f t="shared" si="309"/>
        <v>5841</v>
      </c>
      <c r="K1488" s="7">
        <f>K1489</f>
        <v>0</v>
      </c>
      <c r="L1488" s="36">
        <f t="shared" si="315"/>
        <v>5841</v>
      </c>
      <c r="M1488" s="7">
        <f>M1489</f>
        <v>0</v>
      </c>
      <c r="N1488" s="36">
        <f t="shared" si="310"/>
        <v>5841</v>
      </c>
      <c r="O1488" s="7">
        <f>O1489</f>
        <v>0</v>
      </c>
      <c r="P1488" s="36">
        <f aca="true" t="shared" si="319" ref="P1488:P1551">N1488+O1488</f>
        <v>5841</v>
      </c>
      <c r="Q1488" s="7">
        <f>Q1489</f>
        <v>0</v>
      </c>
      <c r="R1488" s="36">
        <f t="shared" si="318"/>
        <v>5841</v>
      </c>
    </row>
    <row r="1489" spans="1:18" ht="12.75">
      <c r="A1489" s="62" t="str">
        <f ca="1">IF(ISERROR(MATCH(E1489,Код_КВР,0)),"",INDIRECT(ADDRESS(MATCH(E1489,Код_КВР,0)+1,2,,,"КВР")))</f>
        <v>Расходы на выплаты персоналу муниципальных органов</v>
      </c>
      <c r="B1489" s="44" t="s">
        <v>314</v>
      </c>
      <c r="C1489" s="8" t="s">
        <v>232</v>
      </c>
      <c r="D1489" s="1" t="s">
        <v>229</v>
      </c>
      <c r="E1489" s="115">
        <v>120</v>
      </c>
      <c r="F1489" s="7">
        <f>'прил.5'!G1227</f>
        <v>5841</v>
      </c>
      <c r="G1489" s="7">
        <f>'прил.5'!H1227</f>
        <v>0</v>
      </c>
      <c r="H1489" s="36">
        <f t="shared" si="311"/>
        <v>5841</v>
      </c>
      <c r="I1489" s="7">
        <f>'прил.5'!J1227</f>
        <v>0</v>
      </c>
      <c r="J1489" s="36">
        <f aca="true" t="shared" si="320" ref="J1489:J1609">H1489+I1489</f>
        <v>5841</v>
      </c>
      <c r="K1489" s="7">
        <f>'прил.5'!L1227</f>
        <v>0</v>
      </c>
      <c r="L1489" s="36">
        <f t="shared" si="315"/>
        <v>5841</v>
      </c>
      <c r="M1489" s="7">
        <f>'прил.5'!N1227</f>
        <v>0</v>
      </c>
      <c r="N1489" s="36">
        <f t="shared" si="310"/>
        <v>5841</v>
      </c>
      <c r="O1489" s="7">
        <f>'прил.5'!P1227</f>
        <v>0</v>
      </c>
      <c r="P1489" s="36">
        <f t="shared" si="319"/>
        <v>5841</v>
      </c>
      <c r="Q1489" s="7">
        <f>'прил.5'!R1227</f>
        <v>0</v>
      </c>
      <c r="R1489" s="36">
        <f t="shared" si="318"/>
        <v>5841</v>
      </c>
    </row>
    <row r="1490" spans="1:18" ht="12.75">
      <c r="A1490" s="62" t="str">
        <f ca="1">IF(ISERROR(MATCH(E1490,Код_КВР,0)),"",INDIRECT(ADDRESS(MATCH(E1490,Код_КВР,0)+1,2,,,"КВР")))</f>
        <v>Закупка товаров, работ и услуг для муниципальных нужд</v>
      </c>
      <c r="B1490" s="44" t="s">
        <v>314</v>
      </c>
      <c r="C1490" s="8" t="s">
        <v>232</v>
      </c>
      <c r="D1490" s="1" t="s">
        <v>229</v>
      </c>
      <c r="E1490" s="115">
        <v>200</v>
      </c>
      <c r="F1490" s="7">
        <f>F1491</f>
        <v>14.8</v>
      </c>
      <c r="G1490" s="7">
        <f>G1491</f>
        <v>0</v>
      </c>
      <c r="H1490" s="36">
        <f t="shared" si="311"/>
        <v>14.8</v>
      </c>
      <c r="I1490" s="7">
        <f>I1491</f>
        <v>0</v>
      </c>
      <c r="J1490" s="36">
        <f t="shared" si="320"/>
        <v>14.8</v>
      </c>
      <c r="K1490" s="7">
        <f>K1491</f>
        <v>0</v>
      </c>
      <c r="L1490" s="36">
        <f t="shared" si="315"/>
        <v>14.8</v>
      </c>
      <c r="M1490" s="7">
        <f>M1491</f>
        <v>0</v>
      </c>
      <c r="N1490" s="36">
        <f t="shared" si="310"/>
        <v>14.8</v>
      </c>
      <c r="O1490" s="7">
        <f>O1491</f>
        <v>0</v>
      </c>
      <c r="P1490" s="36">
        <f t="shared" si="319"/>
        <v>14.8</v>
      </c>
      <c r="Q1490" s="7">
        <f>Q1491</f>
        <v>0</v>
      </c>
      <c r="R1490" s="36">
        <f t="shared" si="318"/>
        <v>14.8</v>
      </c>
    </row>
    <row r="1491" spans="1:18" ht="33">
      <c r="A1491" s="62" t="str">
        <f ca="1">IF(ISERROR(MATCH(E1491,Код_КВР,0)),"",INDIRECT(ADDRESS(MATCH(E1491,Код_КВР,0)+1,2,,,"КВР")))</f>
        <v>Иные закупки товаров, работ и услуг для обеспечения муниципальных нужд</v>
      </c>
      <c r="B1491" s="44" t="s">
        <v>314</v>
      </c>
      <c r="C1491" s="8" t="s">
        <v>232</v>
      </c>
      <c r="D1491" s="1" t="s">
        <v>229</v>
      </c>
      <c r="E1491" s="115">
        <v>240</v>
      </c>
      <c r="F1491" s="7">
        <f>F1492</f>
        <v>14.8</v>
      </c>
      <c r="G1491" s="7">
        <f>G1492</f>
        <v>0</v>
      </c>
      <c r="H1491" s="36">
        <f t="shared" si="311"/>
        <v>14.8</v>
      </c>
      <c r="I1491" s="7">
        <f>I1492</f>
        <v>0</v>
      </c>
      <c r="J1491" s="36">
        <f t="shared" si="320"/>
        <v>14.8</v>
      </c>
      <c r="K1491" s="7">
        <f>K1492</f>
        <v>0</v>
      </c>
      <c r="L1491" s="36">
        <f t="shared" si="315"/>
        <v>14.8</v>
      </c>
      <c r="M1491" s="7">
        <f>M1492</f>
        <v>0</v>
      </c>
      <c r="N1491" s="36">
        <f aca="true" t="shared" si="321" ref="N1491:N1572">L1491+M1491</f>
        <v>14.8</v>
      </c>
      <c r="O1491" s="7">
        <f>O1492</f>
        <v>0</v>
      </c>
      <c r="P1491" s="36">
        <f t="shared" si="319"/>
        <v>14.8</v>
      </c>
      <c r="Q1491" s="7">
        <f>Q1492</f>
        <v>0</v>
      </c>
      <c r="R1491" s="36">
        <f t="shared" si="318"/>
        <v>14.8</v>
      </c>
    </row>
    <row r="1492" spans="1:18" ht="33">
      <c r="A1492" s="62" t="str">
        <f ca="1">IF(ISERROR(MATCH(E1492,Код_КВР,0)),"",INDIRECT(ADDRESS(MATCH(E1492,Код_КВР,0)+1,2,,,"КВР")))</f>
        <v xml:space="preserve">Прочая закупка товаров, работ и услуг для обеспечения муниципальных нужд         </v>
      </c>
      <c r="B1492" s="44" t="s">
        <v>314</v>
      </c>
      <c r="C1492" s="8" t="s">
        <v>232</v>
      </c>
      <c r="D1492" s="1" t="s">
        <v>229</v>
      </c>
      <c r="E1492" s="115">
        <v>244</v>
      </c>
      <c r="F1492" s="7">
        <f>'прил.5'!G1230</f>
        <v>14.8</v>
      </c>
      <c r="G1492" s="7">
        <f>'прил.5'!H1230</f>
        <v>0</v>
      </c>
      <c r="H1492" s="36">
        <f t="shared" si="311"/>
        <v>14.8</v>
      </c>
      <c r="I1492" s="7">
        <f>'прил.5'!J1230</f>
        <v>0</v>
      </c>
      <c r="J1492" s="36">
        <f t="shared" si="320"/>
        <v>14.8</v>
      </c>
      <c r="K1492" s="7">
        <f>'прил.5'!L1230</f>
        <v>0</v>
      </c>
      <c r="L1492" s="36">
        <f t="shared" si="315"/>
        <v>14.8</v>
      </c>
      <c r="M1492" s="7">
        <f>'прил.5'!N1230</f>
        <v>0</v>
      </c>
      <c r="N1492" s="36">
        <f t="shared" si="321"/>
        <v>14.8</v>
      </c>
      <c r="O1492" s="7">
        <f>'прил.5'!P1230</f>
        <v>0</v>
      </c>
      <c r="P1492" s="36">
        <f t="shared" si="319"/>
        <v>14.8</v>
      </c>
      <c r="Q1492" s="7">
        <f>'прил.5'!R1230</f>
        <v>0</v>
      </c>
      <c r="R1492" s="36">
        <f t="shared" si="318"/>
        <v>14.8</v>
      </c>
    </row>
    <row r="1493" spans="1:18" ht="33">
      <c r="A1493" s="62" t="str">
        <f ca="1">IF(ISERROR(MATCH(B1493,Код_КЦСР,0)),"",INDIRECT(ADDRESS(MATCH(B1493,Код_КЦСР,0)+1,2,,,"КЦСР")))</f>
        <v>Председатель представительного органа муниципального образования</v>
      </c>
      <c r="B1493" s="44" t="s">
        <v>315</v>
      </c>
      <c r="C1493" s="8"/>
      <c r="D1493" s="1"/>
      <c r="E1493" s="115"/>
      <c r="F1493" s="7">
        <f aca="true" t="shared" si="322" ref="F1493:Q1496">F1494</f>
        <v>2201.1</v>
      </c>
      <c r="G1493" s="7">
        <f t="shared" si="322"/>
        <v>0</v>
      </c>
      <c r="H1493" s="36">
        <f t="shared" si="311"/>
        <v>2201.1</v>
      </c>
      <c r="I1493" s="7">
        <f t="shared" si="322"/>
        <v>0</v>
      </c>
      <c r="J1493" s="36">
        <f t="shared" si="320"/>
        <v>2201.1</v>
      </c>
      <c r="K1493" s="7">
        <f t="shared" si="322"/>
        <v>0</v>
      </c>
      <c r="L1493" s="36">
        <f t="shared" si="315"/>
        <v>2201.1</v>
      </c>
      <c r="M1493" s="7">
        <f t="shared" si="322"/>
        <v>0</v>
      </c>
      <c r="N1493" s="36">
        <f t="shared" si="321"/>
        <v>2201.1</v>
      </c>
      <c r="O1493" s="7">
        <f t="shared" si="322"/>
        <v>0</v>
      </c>
      <c r="P1493" s="36">
        <f t="shared" si="319"/>
        <v>2201.1</v>
      </c>
      <c r="Q1493" s="7">
        <f t="shared" si="322"/>
        <v>0</v>
      </c>
      <c r="R1493" s="36">
        <f t="shared" si="318"/>
        <v>2201.1</v>
      </c>
    </row>
    <row r="1494" spans="1:18" ht="12.75">
      <c r="A1494" s="62" t="str">
        <f ca="1">IF(ISERROR(MATCH(C1494,Код_Раздел,0)),"",INDIRECT(ADDRESS(MATCH(C1494,Код_Раздел,0)+1,2,,,"Раздел")))</f>
        <v>Общегосударственные  вопросы</v>
      </c>
      <c r="B1494" s="44" t="s">
        <v>315</v>
      </c>
      <c r="C1494" s="8" t="s">
        <v>221</v>
      </c>
      <c r="D1494" s="1"/>
      <c r="E1494" s="115"/>
      <c r="F1494" s="7">
        <f t="shared" si="322"/>
        <v>2201.1</v>
      </c>
      <c r="G1494" s="7">
        <f t="shared" si="322"/>
        <v>0</v>
      </c>
      <c r="H1494" s="36">
        <f t="shared" si="311"/>
        <v>2201.1</v>
      </c>
      <c r="I1494" s="7">
        <f t="shared" si="322"/>
        <v>0</v>
      </c>
      <c r="J1494" s="36">
        <f t="shared" si="320"/>
        <v>2201.1</v>
      </c>
      <c r="K1494" s="7">
        <f t="shared" si="322"/>
        <v>0</v>
      </c>
      <c r="L1494" s="36">
        <f t="shared" si="315"/>
        <v>2201.1</v>
      </c>
      <c r="M1494" s="7">
        <f t="shared" si="322"/>
        <v>0</v>
      </c>
      <c r="N1494" s="36">
        <f t="shared" si="321"/>
        <v>2201.1</v>
      </c>
      <c r="O1494" s="7">
        <f t="shared" si="322"/>
        <v>0</v>
      </c>
      <c r="P1494" s="36">
        <f t="shared" si="319"/>
        <v>2201.1</v>
      </c>
      <c r="Q1494" s="7">
        <f t="shared" si="322"/>
        <v>0</v>
      </c>
      <c r="R1494" s="36">
        <f t="shared" si="318"/>
        <v>2201.1</v>
      </c>
    </row>
    <row r="1495" spans="1:18" ht="49.5">
      <c r="A1495" s="12" t="s">
        <v>176</v>
      </c>
      <c r="B1495" s="44" t="s">
        <v>315</v>
      </c>
      <c r="C1495" s="8" t="s">
        <v>221</v>
      </c>
      <c r="D1495" s="8" t="s">
        <v>223</v>
      </c>
      <c r="E1495" s="115"/>
      <c r="F1495" s="7">
        <f t="shared" si="322"/>
        <v>2201.1</v>
      </c>
      <c r="G1495" s="7">
        <f t="shared" si="322"/>
        <v>0</v>
      </c>
      <c r="H1495" s="36">
        <f t="shared" si="311"/>
        <v>2201.1</v>
      </c>
      <c r="I1495" s="7">
        <f t="shared" si="322"/>
        <v>0</v>
      </c>
      <c r="J1495" s="36">
        <f t="shared" si="320"/>
        <v>2201.1</v>
      </c>
      <c r="K1495" s="7">
        <f t="shared" si="322"/>
        <v>0</v>
      </c>
      <c r="L1495" s="36">
        <f t="shared" si="315"/>
        <v>2201.1</v>
      </c>
      <c r="M1495" s="7">
        <f t="shared" si="322"/>
        <v>0</v>
      </c>
      <c r="N1495" s="36">
        <f t="shared" si="321"/>
        <v>2201.1</v>
      </c>
      <c r="O1495" s="7">
        <f t="shared" si="322"/>
        <v>0</v>
      </c>
      <c r="P1495" s="36">
        <f t="shared" si="319"/>
        <v>2201.1</v>
      </c>
      <c r="Q1495" s="7">
        <f t="shared" si="322"/>
        <v>0</v>
      </c>
      <c r="R1495" s="36">
        <f t="shared" si="318"/>
        <v>2201.1</v>
      </c>
    </row>
    <row r="1496" spans="1:18" ht="33">
      <c r="A1496" s="62" t="str">
        <f ca="1">IF(ISERROR(MATCH(E1496,Код_КВР,0)),"",INDIRECT(ADDRESS(MATCH(E1496,Код_КВР,0)+1,2,,,"КВР")))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96" s="44" t="s">
        <v>315</v>
      </c>
      <c r="C1496" s="8" t="s">
        <v>221</v>
      </c>
      <c r="D1496" s="8" t="s">
        <v>223</v>
      </c>
      <c r="E1496" s="115">
        <v>100</v>
      </c>
      <c r="F1496" s="7">
        <f t="shared" si="322"/>
        <v>2201.1</v>
      </c>
      <c r="G1496" s="7">
        <f t="shared" si="322"/>
        <v>0</v>
      </c>
      <c r="H1496" s="36">
        <f t="shared" si="311"/>
        <v>2201.1</v>
      </c>
      <c r="I1496" s="7">
        <f t="shared" si="322"/>
        <v>0</v>
      </c>
      <c r="J1496" s="36">
        <f t="shared" si="320"/>
        <v>2201.1</v>
      </c>
      <c r="K1496" s="7">
        <f t="shared" si="322"/>
        <v>0</v>
      </c>
      <c r="L1496" s="36">
        <f t="shared" si="315"/>
        <v>2201.1</v>
      </c>
      <c r="M1496" s="7">
        <f t="shared" si="322"/>
        <v>0</v>
      </c>
      <c r="N1496" s="36">
        <f t="shared" si="321"/>
        <v>2201.1</v>
      </c>
      <c r="O1496" s="7">
        <f t="shared" si="322"/>
        <v>0</v>
      </c>
      <c r="P1496" s="36">
        <f t="shared" si="319"/>
        <v>2201.1</v>
      </c>
      <c r="Q1496" s="7">
        <f t="shared" si="322"/>
        <v>0</v>
      </c>
      <c r="R1496" s="36">
        <f t="shared" si="318"/>
        <v>2201.1</v>
      </c>
    </row>
    <row r="1497" spans="1:18" ht="12.75">
      <c r="A1497" s="62" t="str">
        <f ca="1">IF(ISERROR(MATCH(E1497,Код_КВР,0)),"",INDIRECT(ADDRESS(MATCH(E1497,Код_КВР,0)+1,2,,,"КВР")))</f>
        <v>Расходы на выплаты персоналу муниципальных органов</v>
      </c>
      <c r="B1497" s="44" t="s">
        <v>315</v>
      </c>
      <c r="C1497" s="8" t="s">
        <v>221</v>
      </c>
      <c r="D1497" s="8" t="s">
        <v>223</v>
      </c>
      <c r="E1497" s="115">
        <v>120</v>
      </c>
      <c r="F1497" s="7">
        <f>'прил.5'!G403</f>
        <v>2201.1</v>
      </c>
      <c r="G1497" s="7">
        <f>'прил.5'!H403</f>
        <v>0</v>
      </c>
      <c r="H1497" s="36">
        <f aca="true" t="shared" si="323" ref="H1497:H1617">F1497+G1497</f>
        <v>2201.1</v>
      </c>
      <c r="I1497" s="7">
        <f>'прил.5'!J403</f>
        <v>0</v>
      </c>
      <c r="J1497" s="36">
        <f t="shared" si="320"/>
        <v>2201.1</v>
      </c>
      <c r="K1497" s="7">
        <f>'прил.5'!L403</f>
        <v>0</v>
      </c>
      <c r="L1497" s="36">
        <f t="shared" si="315"/>
        <v>2201.1</v>
      </c>
      <c r="M1497" s="7">
        <f>'прил.5'!N403</f>
        <v>0</v>
      </c>
      <c r="N1497" s="36">
        <f t="shared" si="321"/>
        <v>2201.1</v>
      </c>
      <c r="O1497" s="7">
        <f>'прил.5'!P403</f>
        <v>0</v>
      </c>
      <c r="P1497" s="36">
        <f t="shared" si="319"/>
        <v>2201.1</v>
      </c>
      <c r="Q1497" s="7">
        <f>'прил.5'!R403</f>
        <v>0</v>
      </c>
      <c r="R1497" s="36">
        <f t="shared" si="318"/>
        <v>2201.1</v>
      </c>
    </row>
    <row r="1498" spans="1:18" ht="12.75">
      <c r="A1498" s="62" t="str">
        <f ca="1">IF(ISERROR(MATCH(B1498,Код_КЦСР,0)),"",INDIRECT(ADDRESS(MATCH(B1498,Код_КЦСР,0)+1,2,,,"КЦСР")))</f>
        <v>Депутаты представительного органа муниципального образования</v>
      </c>
      <c r="B1498" s="44" t="s">
        <v>316</v>
      </c>
      <c r="C1498" s="8"/>
      <c r="D1498" s="1"/>
      <c r="E1498" s="115"/>
      <c r="F1498" s="7">
        <f aca="true" t="shared" si="324" ref="F1498:Q1501">F1499</f>
        <v>3706.8</v>
      </c>
      <c r="G1498" s="7">
        <f t="shared" si="324"/>
        <v>0</v>
      </c>
      <c r="H1498" s="36">
        <f t="shared" si="323"/>
        <v>3706.8</v>
      </c>
      <c r="I1498" s="7">
        <f t="shared" si="324"/>
        <v>0</v>
      </c>
      <c r="J1498" s="36">
        <f t="shared" si="320"/>
        <v>3706.8</v>
      </c>
      <c r="K1498" s="7">
        <f t="shared" si="324"/>
        <v>0</v>
      </c>
      <c r="L1498" s="36">
        <f t="shared" si="315"/>
        <v>3706.8</v>
      </c>
      <c r="M1498" s="7">
        <f t="shared" si="324"/>
        <v>0</v>
      </c>
      <c r="N1498" s="36">
        <f t="shared" si="321"/>
        <v>3706.8</v>
      </c>
      <c r="O1498" s="7">
        <f t="shared" si="324"/>
        <v>0</v>
      </c>
      <c r="P1498" s="36">
        <f t="shared" si="319"/>
        <v>3706.8</v>
      </c>
      <c r="Q1498" s="7">
        <f t="shared" si="324"/>
        <v>0</v>
      </c>
      <c r="R1498" s="36">
        <f t="shared" si="318"/>
        <v>3706.8</v>
      </c>
    </row>
    <row r="1499" spans="1:18" ht="12.75">
      <c r="A1499" s="62" t="str">
        <f ca="1">IF(ISERROR(MATCH(C1499,Код_Раздел,0)),"",INDIRECT(ADDRESS(MATCH(C1499,Код_Раздел,0)+1,2,,,"Раздел")))</f>
        <v>Общегосударственные  вопросы</v>
      </c>
      <c r="B1499" s="44" t="s">
        <v>316</v>
      </c>
      <c r="C1499" s="8" t="s">
        <v>221</v>
      </c>
      <c r="D1499" s="1"/>
      <c r="E1499" s="115"/>
      <c r="F1499" s="7">
        <f t="shared" si="324"/>
        <v>3706.8</v>
      </c>
      <c r="G1499" s="7">
        <f t="shared" si="324"/>
        <v>0</v>
      </c>
      <c r="H1499" s="36">
        <f t="shared" si="323"/>
        <v>3706.8</v>
      </c>
      <c r="I1499" s="7">
        <f t="shared" si="324"/>
        <v>0</v>
      </c>
      <c r="J1499" s="36">
        <f t="shared" si="320"/>
        <v>3706.8</v>
      </c>
      <c r="K1499" s="7">
        <f t="shared" si="324"/>
        <v>0</v>
      </c>
      <c r="L1499" s="36">
        <f t="shared" si="315"/>
        <v>3706.8</v>
      </c>
      <c r="M1499" s="7">
        <f t="shared" si="324"/>
        <v>0</v>
      </c>
      <c r="N1499" s="36">
        <f t="shared" si="321"/>
        <v>3706.8</v>
      </c>
      <c r="O1499" s="7">
        <f t="shared" si="324"/>
        <v>0</v>
      </c>
      <c r="P1499" s="36">
        <f t="shared" si="319"/>
        <v>3706.8</v>
      </c>
      <c r="Q1499" s="7">
        <f t="shared" si="324"/>
        <v>0</v>
      </c>
      <c r="R1499" s="36">
        <f t="shared" si="318"/>
        <v>3706.8</v>
      </c>
    </row>
    <row r="1500" spans="1:18" ht="49.5">
      <c r="A1500" s="12" t="s">
        <v>176</v>
      </c>
      <c r="B1500" s="44" t="s">
        <v>316</v>
      </c>
      <c r="C1500" s="8" t="s">
        <v>221</v>
      </c>
      <c r="D1500" s="8" t="s">
        <v>223</v>
      </c>
      <c r="E1500" s="115"/>
      <c r="F1500" s="7">
        <f t="shared" si="324"/>
        <v>3706.8</v>
      </c>
      <c r="G1500" s="7">
        <f t="shared" si="324"/>
        <v>0</v>
      </c>
      <c r="H1500" s="36">
        <f t="shared" si="323"/>
        <v>3706.8</v>
      </c>
      <c r="I1500" s="7">
        <f t="shared" si="324"/>
        <v>0</v>
      </c>
      <c r="J1500" s="36">
        <f t="shared" si="320"/>
        <v>3706.8</v>
      </c>
      <c r="K1500" s="7">
        <f t="shared" si="324"/>
        <v>0</v>
      </c>
      <c r="L1500" s="36">
        <f t="shared" si="315"/>
        <v>3706.8</v>
      </c>
      <c r="M1500" s="7">
        <f t="shared" si="324"/>
        <v>0</v>
      </c>
      <c r="N1500" s="36">
        <f t="shared" si="321"/>
        <v>3706.8</v>
      </c>
      <c r="O1500" s="7">
        <f t="shared" si="324"/>
        <v>0</v>
      </c>
      <c r="P1500" s="36">
        <f t="shared" si="319"/>
        <v>3706.8</v>
      </c>
      <c r="Q1500" s="7">
        <f t="shared" si="324"/>
        <v>0</v>
      </c>
      <c r="R1500" s="36">
        <f t="shared" si="318"/>
        <v>3706.8</v>
      </c>
    </row>
    <row r="1501" spans="1:18" ht="33">
      <c r="A1501" s="62" t="str">
        <f ca="1">IF(ISERROR(MATCH(E1501,Код_КВР,0)),"",INDIRECT(ADDRESS(MATCH(E1501,Код_КВР,0)+1,2,,,"КВР")))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01" s="44" t="s">
        <v>316</v>
      </c>
      <c r="C1501" s="8" t="s">
        <v>221</v>
      </c>
      <c r="D1501" s="8" t="s">
        <v>223</v>
      </c>
      <c r="E1501" s="115">
        <v>100</v>
      </c>
      <c r="F1501" s="7">
        <f t="shared" si="324"/>
        <v>3706.8</v>
      </c>
      <c r="G1501" s="7">
        <f t="shared" si="324"/>
        <v>0</v>
      </c>
      <c r="H1501" s="36">
        <f t="shared" si="323"/>
        <v>3706.8</v>
      </c>
      <c r="I1501" s="7">
        <f t="shared" si="324"/>
        <v>0</v>
      </c>
      <c r="J1501" s="36">
        <f t="shared" si="320"/>
        <v>3706.8</v>
      </c>
      <c r="K1501" s="7">
        <f t="shared" si="324"/>
        <v>0</v>
      </c>
      <c r="L1501" s="36">
        <f t="shared" si="315"/>
        <v>3706.8</v>
      </c>
      <c r="M1501" s="7">
        <f t="shared" si="324"/>
        <v>0</v>
      </c>
      <c r="N1501" s="36">
        <f t="shared" si="321"/>
        <v>3706.8</v>
      </c>
      <c r="O1501" s="7">
        <f t="shared" si="324"/>
        <v>0</v>
      </c>
      <c r="P1501" s="36">
        <f t="shared" si="319"/>
        <v>3706.8</v>
      </c>
      <c r="Q1501" s="7">
        <f t="shared" si="324"/>
        <v>0</v>
      </c>
      <c r="R1501" s="36">
        <f t="shared" si="318"/>
        <v>3706.8</v>
      </c>
    </row>
    <row r="1502" spans="1:18" ht="12.75">
      <c r="A1502" s="62" t="str">
        <f ca="1">IF(ISERROR(MATCH(E1502,Код_КВР,0)),"",INDIRECT(ADDRESS(MATCH(E1502,Код_КВР,0)+1,2,,,"КВР")))</f>
        <v>Расходы на выплаты персоналу муниципальных органов</v>
      </c>
      <c r="B1502" s="44" t="s">
        <v>316</v>
      </c>
      <c r="C1502" s="8" t="s">
        <v>221</v>
      </c>
      <c r="D1502" s="8" t="s">
        <v>223</v>
      </c>
      <c r="E1502" s="115">
        <v>120</v>
      </c>
      <c r="F1502" s="7">
        <f>'прил.5'!G406</f>
        <v>3706.8</v>
      </c>
      <c r="G1502" s="7">
        <f>'прил.5'!H406</f>
        <v>0</v>
      </c>
      <c r="H1502" s="36">
        <f t="shared" si="323"/>
        <v>3706.8</v>
      </c>
      <c r="I1502" s="7">
        <f>'прил.5'!J406</f>
        <v>0</v>
      </c>
      <c r="J1502" s="36">
        <f t="shared" si="320"/>
        <v>3706.8</v>
      </c>
      <c r="K1502" s="7">
        <f>'прил.5'!L406</f>
        <v>0</v>
      </c>
      <c r="L1502" s="36">
        <f t="shared" si="315"/>
        <v>3706.8</v>
      </c>
      <c r="M1502" s="7">
        <f>'прил.5'!N406</f>
        <v>0</v>
      </c>
      <c r="N1502" s="36">
        <f t="shared" si="321"/>
        <v>3706.8</v>
      </c>
      <c r="O1502" s="7">
        <f>'прил.5'!P406</f>
        <v>0</v>
      </c>
      <c r="P1502" s="36">
        <f t="shared" si="319"/>
        <v>3706.8</v>
      </c>
      <c r="Q1502" s="7">
        <f>'прил.5'!R406</f>
        <v>0</v>
      </c>
      <c r="R1502" s="36">
        <f t="shared" si="318"/>
        <v>3706.8</v>
      </c>
    </row>
    <row r="1503" spans="1:18" ht="33">
      <c r="A1503" s="62" t="str">
        <f ca="1">IF(ISERROR(MATCH(B1503,Код_КЦСР,0)),"",INDIRECT(ADDRESS(MATCH(B1503,Код_КЦСР,0)+1,2,,,"КЦСР")))</f>
        <v>Реализация функций органов местного самоуправления города, связанных с общегородским управлением</v>
      </c>
      <c r="B1503" s="44" t="s">
        <v>317</v>
      </c>
      <c r="C1503" s="8"/>
      <c r="D1503" s="1"/>
      <c r="E1503" s="115"/>
      <c r="F1503" s="7">
        <f aca="true" t="shared" si="325" ref="F1503:Q1507">F1504</f>
        <v>400</v>
      </c>
      <c r="G1503" s="7">
        <f t="shared" si="325"/>
        <v>0</v>
      </c>
      <c r="H1503" s="36">
        <f t="shared" si="323"/>
        <v>400</v>
      </c>
      <c r="I1503" s="7">
        <f t="shared" si="325"/>
        <v>0</v>
      </c>
      <c r="J1503" s="36">
        <f t="shared" si="320"/>
        <v>400</v>
      </c>
      <c r="K1503" s="7">
        <f t="shared" si="325"/>
        <v>-50</v>
      </c>
      <c r="L1503" s="36">
        <f t="shared" si="315"/>
        <v>350</v>
      </c>
      <c r="M1503" s="7">
        <f>M1504+M1510</f>
        <v>0.5</v>
      </c>
      <c r="N1503" s="36">
        <f t="shared" si="321"/>
        <v>350.5</v>
      </c>
      <c r="O1503" s="7">
        <f>O1504+O1510</f>
        <v>0</v>
      </c>
      <c r="P1503" s="36">
        <f t="shared" si="319"/>
        <v>350.5</v>
      </c>
      <c r="Q1503" s="7">
        <f>Q1504+Q1510</f>
        <v>0</v>
      </c>
      <c r="R1503" s="36">
        <f t="shared" si="318"/>
        <v>350.5</v>
      </c>
    </row>
    <row r="1504" spans="1:18" ht="12.75">
      <c r="A1504" s="62" t="str">
        <f ca="1">IF(ISERROR(MATCH(B1504,Код_КЦСР,0)),"",INDIRECT(ADDRESS(MATCH(B1504,Код_КЦСР,0)+1,2,,,"КЦСР")))</f>
        <v>Расходы на судебные издержки и исполнение судебных решений</v>
      </c>
      <c r="B1504" s="44" t="s">
        <v>319</v>
      </c>
      <c r="C1504" s="8"/>
      <c r="D1504" s="1"/>
      <c r="E1504" s="115"/>
      <c r="F1504" s="7">
        <f t="shared" si="325"/>
        <v>400</v>
      </c>
      <c r="G1504" s="7">
        <f t="shared" si="325"/>
        <v>0</v>
      </c>
      <c r="H1504" s="36">
        <f t="shared" si="323"/>
        <v>400</v>
      </c>
      <c r="I1504" s="7">
        <f t="shared" si="325"/>
        <v>0</v>
      </c>
      <c r="J1504" s="36">
        <f t="shared" si="320"/>
        <v>400</v>
      </c>
      <c r="K1504" s="7">
        <f t="shared" si="325"/>
        <v>-50</v>
      </c>
      <c r="L1504" s="36">
        <f t="shared" si="315"/>
        <v>350</v>
      </c>
      <c r="M1504" s="7">
        <f t="shared" si="325"/>
        <v>0</v>
      </c>
      <c r="N1504" s="36">
        <f t="shared" si="321"/>
        <v>350</v>
      </c>
      <c r="O1504" s="7">
        <f t="shared" si="325"/>
        <v>0</v>
      </c>
      <c r="P1504" s="36">
        <f t="shared" si="319"/>
        <v>350</v>
      </c>
      <c r="Q1504" s="7">
        <f t="shared" si="325"/>
        <v>0</v>
      </c>
      <c r="R1504" s="36">
        <f t="shared" si="318"/>
        <v>350</v>
      </c>
    </row>
    <row r="1505" spans="1:18" ht="12.75">
      <c r="A1505" s="62" t="str">
        <f ca="1">IF(ISERROR(MATCH(C1505,Код_Раздел,0)),"",INDIRECT(ADDRESS(MATCH(C1505,Код_Раздел,0)+1,2,,,"Раздел")))</f>
        <v>Общегосударственные  вопросы</v>
      </c>
      <c r="B1505" s="44" t="s">
        <v>319</v>
      </c>
      <c r="C1505" s="8" t="s">
        <v>221</v>
      </c>
      <c r="D1505" s="1"/>
      <c r="E1505" s="115"/>
      <c r="F1505" s="7">
        <f t="shared" si="325"/>
        <v>400</v>
      </c>
      <c r="G1505" s="7">
        <f t="shared" si="325"/>
        <v>0</v>
      </c>
      <c r="H1505" s="36">
        <f t="shared" si="323"/>
        <v>400</v>
      </c>
      <c r="I1505" s="7">
        <f t="shared" si="325"/>
        <v>0</v>
      </c>
      <c r="J1505" s="36">
        <f t="shared" si="320"/>
        <v>400</v>
      </c>
      <c r="K1505" s="7">
        <f t="shared" si="325"/>
        <v>-50</v>
      </c>
      <c r="L1505" s="36">
        <f t="shared" si="315"/>
        <v>350</v>
      </c>
      <c r="M1505" s="7">
        <f t="shared" si="325"/>
        <v>0</v>
      </c>
      <c r="N1505" s="36">
        <f t="shared" si="321"/>
        <v>350</v>
      </c>
      <c r="O1505" s="7">
        <f t="shared" si="325"/>
        <v>0</v>
      </c>
      <c r="P1505" s="36">
        <f t="shared" si="319"/>
        <v>350</v>
      </c>
      <c r="Q1505" s="7">
        <f t="shared" si="325"/>
        <v>0</v>
      </c>
      <c r="R1505" s="36">
        <f t="shared" si="318"/>
        <v>350</v>
      </c>
    </row>
    <row r="1506" spans="1:18" ht="12.75">
      <c r="A1506" s="12" t="s">
        <v>245</v>
      </c>
      <c r="B1506" s="44" t="s">
        <v>319</v>
      </c>
      <c r="C1506" s="8" t="s">
        <v>221</v>
      </c>
      <c r="D1506" s="1" t="s">
        <v>198</v>
      </c>
      <c r="E1506" s="115"/>
      <c r="F1506" s="7">
        <f t="shared" si="325"/>
        <v>400</v>
      </c>
      <c r="G1506" s="7">
        <f t="shared" si="325"/>
        <v>0</v>
      </c>
      <c r="H1506" s="36">
        <f t="shared" si="323"/>
        <v>400</v>
      </c>
      <c r="I1506" s="7">
        <f t="shared" si="325"/>
        <v>0</v>
      </c>
      <c r="J1506" s="36">
        <f t="shared" si="320"/>
        <v>400</v>
      </c>
      <c r="K1506" s="7">
        <f t="shared" si="325"/>
        <v>-50</v>
      </c>
      <c r="L1506" s="36">
        <f t="shared" si="315"/>
        <v>350</v>
      </c>
      <c r="M1506" s="7">
        <f t="shared" si="325"/>
        <v>0</v>
      </c>
      <c r="N1506" s="36">
        <f t="shared" si="321"/>
        <v>350</v>
      </c>
      <c r="O1506" s="7">
        <f t="shared" si="325"/>
        <v>0</v>
      </c>
      <c r="P1506" s="36">
        <f t="shared" si="319"/>
        <v>350</v>
      </c>
      <c r="Q1506" s="7">
        <f t="shared" si="325"/>
        <v>0</v>
      </c>
      <c r="R1506" s="36">
        <f t="shared" si="318"/>
        <v>350</v>
      </c>
    </row>
    <row r="1507" spans="1:18" ht="12.75">
      <c r="A1507" s="62" t="str">
        <f ca="1">IF(ISERROR(MATCH(E1507,Код_КВР,0)),"",INDIRECT(ADDRESS(MATCH(E1507,Код_КВР,0)+1,2,,,"КВР")))</f>
        <v>Иные бюджетные ассигнования</v>
      </c>
      <c r="B1507" s="44" t="s">
        <v>319</v>
      </c>
      <c r="C1507" s="8" t="s">
        <v>221</v>
      </c>
      <c r="D1507" s="1" t="s">
        <v>198</v>
      </c>
      <c r="E1507" s="115">
        <v>800</v>
      </c>
      <c r="F1507" s="7">
        <f t="shared" si="325"/>
        <v>400</v>
      </c>
      <c r="G1507" s="7">
        <f t="shared" si="325"/>
        <v>0</v>
      </c>
      <c r="H1507" s="36">
        <f t="shared" si="323"/>
        <v>400</v>
      </c>
      <c r="I1507" s="7">
        <f t="shared" si="325"/>
        <v>0</v>
      </c>
      <c r="J1507" s="36">
        <f t="shared" si="320"/>
        <v>400</v>
      </c>
      <c r="K1507" s="7">
        <f t="shared" si="325"/>
        <v>-50</v>
      </c>
      <c r="L1507" s="36">
        <f t="shared" si="315"/>
        <v>350</v>
      </c>
      <c r="M1507" s="7">
        <f t="shared" si="325"/>
        <v>0</v>
      </c>
      <c r="N1507" s="36">
        <f t="shared" si="321"/>
        <v>350</v>
      </c>
      <c r="O1507" s="7">
        <f t="shared" si="325"/>
        <v>0</v>
      </c>
      <c r="P1507" s="36">
        <f t="shared" si="319"/>
        <v>350</v>
      </c>
      <c r="Q1507" s="7">
        <f t="shared" si="325"/>
        <v>0</v>
      </c>
      <c r="R1507" s="36">
        <f t="shared" si="318"/>
        <v>350</v>
      </c>
    </row>
    <row r="1508" spans="1:18" ht="12.75">
      <c r="A1508" s="62" t="str">
        <f ca="1">IF(ISERROR(MATCH(E1508,Код_КВР,0)),"",INDIRECT(ADDRESS(MATCH(E1508,Код_КВР,0)+1,2,,,"КВР")))</f>
        <v>Исполнение судебных актов</v>
      </c>
      <c r="B1508" s="44" t="s">
        <v>319</v>
      </c>
      <c r="C1508" s="8" t="s">
        <v>221</v>
      </c>
      <c r="D1508" s="1" t="s">
        <v>198</v>
      </c>
      <c r="E1508" s="115">
        <v>830</v>
      </c>
      <c r="F1508" s="7">
        <f>F1509</f>
        <v>400</v>
      </c>
      <c r="G1508" s="7">
        <f>G1509</f>
        <v>0</v>
      </c>
      <c r="H1508" s="36">
        <f t="shared" si="323"/>
        <v>400</v>
      </c>
      <c r="I1508" s="7">
        <f>I1509</f>
        <v>0</v>
      </c>
      <c r="J1508" s="36">
        <f t="shared" si="320"/>
        <v>400</v>
      </c>
      <c r="K1508" s="7">
        <f>K1509</f>
        <v>-50</v>
      </c>
      <c r="L1508" s="36">
        <f t="shared" si="315"/>
        <v>350</v>
      </c>
      <c r="M1508" s="7">
        <f>M1509</f>
        <v>0</v>
      </c>
      <c r="N1508" s="36">
        <f t="shared" si="321"/>
        <v>350</v>
      </c>
      <c r="O1508" s="7">
        <f>O1509</f>
        <v>0</v>
      </c>
      <c r="P1508" s="36">
        <f t="shared" si="319"/>
        <v>350</v>
      </c>
      <c r="Q1508" s="7">
        <f>Q1509</f>
        <v>0</v>
      </c>
      <c r="R1508" s="36">
        <f t="shared" si="318"/>
        <v>350</v>
      </c>
    </row>
    <row r="1509" spans="1:18" ht="85.5" customHeight="1">
      <c r="A1509" s="62" t="str">
        <f ca="1">IF(ISERROR(MATCH(E1509,Код_КВР,0)),"",INDIRECT(ADDRESS(MATCH(E1509,Код_КВР,0)+1,2,,,"КВР")))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509" s="44" t="s">
        <v>319</v>
      </c>
      <c r="C1509" s="8" t="s">
        <v>221</v>
      </c>
      <c r="D1509" s="1" t="s">
        <v>198</v>
      </c>
      <c r="E1509" s="115">
        <v>831</v>
      </c>
      <c r="F1509" s="7">
        <f>'прил.5'!G163+'прил.5'!G875</f>
        <v>400</v>
      </c>
      <c r="G1509" s="7">
        <f>'прил.5'!H163+'прил.5'!H875</f>
        <v>0</v>
      </c>
      <c r="H1509" s="36">
        <f t="shared" si="323"/>
        <v>400</v>
      </c>
      <c r="I1509" s="7">
        <f>'прил.5'!J163+'прил.5'!J875</f>
        <v>0</v>
      </c>
      <c r="J1509" s="36">
        <f t="shared" si="320"/>
        <v>400</v>
      </c>
      <c r="K1509" s="7">
        <f>'прил.5'!L163+'прил.5'!L875</f>
        <v>-50</v>
      </c>
      <c r="L1509" s="36">
        <f t="shared" si="315"/>
        <v>350</v>
      </c>
      <c r="M1509" s="7">
        <f>'прил.5'!N163+'прил.5'!N875</f>
        <v>0</v>
      </c>
      <c r="N1509" s="36">
        <f t="shared" si="321"/>
        <v>350</v>
      </c>
      <c r="O1509" s="7">
        <f>'прил.5'!P163+'прил.5'!P875</f>
        <v>0</v>
      </c>
      <c r="P1509" s="36">
        <f t="shared" si="319"/>
        <v>350</v>
      </c>
      <c r="Q1509" s="7">
        <f>'прил.5'!R163+'прил.5'!R875</f>
        <v>0</v>
      </c>
      <c r="R1509" s="36">
        <f t="shared" si="318"/>
        <v>350</v>
      </c>
    </row>
    <row r="1510" spans="1:18" ht="39.95" customHeight="1">
      <c r="A1510" s="62" t="str">
        <f ca="1">IF(ISERROR(MATCH(B1510,Код_КЦСР,0)),"",INDIRECT(ADDRESS(MATCH(B1510,Код_КЦСР,0)+1,2,,,"КЦСР")))</f>
        <v>Выполнение других обязательств органов местного самоуправления</v>
      </c>
      <c r="B1510" s="44" t="s">
        <v>321</v>
      </c>
      <c r="C1510" s="8"/>
      <c r="D1510" s="1"/>
      <c r="E1510" s="115"/>
      <c r="F1510" s="7"/>
      <c r="G1510" s="7"/>
      <c r="H1510" s="36"/>
      <c r="I1510" s="7"/>
      <c r="J1510" s="36"/>
      <c r="K1510" s="7"/>
      <c r="L1510" s="36"/>
      <c r="M1510" s="7">
        <f>M1511</f>
        <v>0.5</v>
      </c>
      <c r="N1510" s="36">
        <f t="shared" si="321"/>
        <v>0.5</v>
      </c>
      <c r="O1510" s="7">
        <f>O1511</f>
        <v>0</v>
      </c>
      <c r="P1510" s="36">
        <f t="shared" si="319"/>
        <v>0.5</v>
      </c>
      <c r="Q1510" s="7">
        <f>Q1511</f>
        <v>0</v>
      </c>
      <c r="R1510" s="36">
        <f t="shared" si="318"/>
        <v>0.5</v>
      </c>
    </row>
    <row r="1511" spans="1:18" ht="12.75">
      <c r="A1511" s="62" t="str">
        <f ca="1">IF(ISERROR(MATCH(C1511,Код_Раздел,0)),"",INDIRECT(ADDRESS(MATCH(C1511,Код_Раздел,0)+1,2,,,"Раздел")))</f>
        <v>Общегосударственные  вопросы</v>
      </c>
      <c r="B1511" s="44" t="s">
        <v>321</v>
      </c>
      <c r="C1511" s="8" t="s">
        <v>221</v>
      </c>
      <c r="D1511" s="1"/>
      <c r="E1511" s="115"/>
      <c r="F1511" s="7"/>
      <c r="G1511" s="7"/>
      <c r="H1511" s="36"/>
      <c r="I1511" s="7"/>
      <c r="J1511" s="36"/>
      <c r="K1511" s="7"/>
      <c r="L1511" s="36"/>
      <c r="M1511" s="7">
        <f>M1512</f>
        <v>0.5</v>
      </c>
      <c r="N1511" s="36">
        <f t="shared" si="321"/>
        <v>0.5</v>
      </c>
      <c r="O1511" s="7">
        <f>O1512</f>
        <v>0</v>
      </c>
      <c r="P1511" s="36">
        <f t="shared" si="319"/>
        <v>0.5</v>
      </c>
      <c r="Q1511" s="7">
        <f>Q1512</f>
        <v>0</v>
      </c>
      <c r="R1511" s="36">
        <f t="shared" si="318"/>
        <v>0.5</v>
      </c>
    </row>
    <row r="1512" spans="1:18" ht="12.75">
      <c r="A1512" s="12" t="s">
        <v>245</v>
      </c>
      <c r="B1512" s="44" t="s">
        <v>321</v>
      </c>
      <c r="C1512" s="8" t="s">
        <v>221</v>
      </c>
      <c r="D1512" s="1" t="s">
        <v>198</v>
      </c>
      <c r="E1512" s="115"/>
      <c r="F1512" s="7"/>
      <c r="G1512" s="7"/>
      <c r="H1512" s="36"/>
      <c r="I1512" s="7"/>
      <c r="J1512" s="36"/>
      <c r="K1512" s="7"/>
      <c r="L1512" s="36"/>
      <c r="M1512" s="7">
        <f>M1513</f>
        <v>0.5</v>
      </c>
      <c r="N1512" s="36">
        <f t="shared" si="321"/>
        <v>0.5</v>
      </c>
      <c r="O1512" s="7">
        <f>O1513</f>
        <v>0</v>
      </c>
      <c r="P1512" s="36">
        <f t="shared" si="319"/>
        <v>0.5</v>
      </c>
      <c r="Q1512" s="7">
        <f>Q1513</f>
        <v>0</v>
      </c>
      <c r="R1512" s="36">
        <f t="shared" si="318"/>
        <v>0.5</v>
      </c>
    </row>
    <row r="1513" spans="1:18" ht="12.75">
      <c r="A1513" s="62" t="str">
        <f ca="1">IF(ISERROR(MATCH(E1513,Код_КВР,0)),"",INDIRECT(ADDRESS(MATCH(E1513,Код_КВР,0)+1,2,,,"КВР")))</f>
        <v>Иные бюджетные ассигнования</v>
      </c>
      <c r="B1513" s="44" t="s">
        <v>321</v>
      </c>
      <c r="C1513" s="8" t="s">
        <v>221</v>
      </c>
      <c r="D1513" s="1" t="s">
        <v>198</v>
      </c>
      <c r="E1513" s="115">
        <v>800</v>
      </c>
      <c r="F1513" s="7"/>
      <c r="G1513" s="7"/>
      <c r="H1513" s="36"/>
      <c r="I1513" s="7"/>
      <c r="J1513" s="36"/>
      <c r="K1513" s="7"/>
      <c r="L1513" s="36"/>
      <c r="M1513" s="7">
        <f>M1514</f>
        <v>0.5</v>
      </c>
      <c r="N1513" s="36">
        <f t="shared" si="321"/>
        <v>0.5</v>
      </c>
      <c r="O1513" s="7">
        <f>O1514</f>
        <v>0</v>
      </c>
      <c r="P1513" s="36">
        <f t="shared" si="319"/>
        <v>0.5</v>
      </c>
      <c r="Q1513" s="7">
        <f>Q1514</f>
        <v>0</v>
      </c>
      <c r="R1513" s="36">
        <f t="shared" si="318"/>
        <v>0.5</v>
      </c>
    </row>
    <row r="1514" spans="1:18" ht="12.75">
      <c r="A1514" s="62" t="str">
        <f ca="1">IF(ISERROR(MATCH(E1514,Код_КВР,0)),"",INDIRECT(ADDRESS(MATCH(E1514,Код_КВР,0)+1,2,,,"КВР")))</f>
        <v>Уплата налогов, сборов и иных платежей</v>
      </c>
      <c r="B1514" s="44" t="s">
        <v>321</v>
      </c>
      <c r="C1514" s="8" t="s">
        <v>221</v>
      </c>
      <c r="D1514" s="1" t="s">
        <v>198</v>
      </c>
      <c r="E1514" s="115">
        <v>850</v>
      </c>
      <c r="F1514" s="7"/>
      <c r="G1514" s="7"/>
      <c r="H1514" s="36"/>
      <c r="I1514" s="7"/>
      <c r="J1514" s="36"/>
      <c r="K1514" s="7"/>
      <c r="L1514" s="36"/>
      <c r="M1514" s="7">
        <f>M1515</f>
        <v>0.5</v>
      </c>
      <c r="N1514" s="36">
        <f t="shared" si="321"/>
        <v>0.5</v>
      </c>
      <c r="O1514" s="7">
        <f>O1515</f>
        <v>0</v>
      </c>
      <c r="P1514" s="36">
        <f t="shared" si="319"/>
        <v>0.5</v>
      </c>
      <c r="Q1514" s="7">
        <f>Q1515</f>
        <v>0</v>
      </c>
      <c r="R1514" s="36">
        <f t="shared" si="318"/>
        <v>0.5</v>
      </c>
    </row>
    <row r="1515" spans="1:18" ht="12.75">
      <c r="A1515" s="62" t="str">
        <f ca="1">IF(ISERROR(MATCH(E1515,Код_КВР,0)),"",INDIRECT(ADDRESS(MATCH(E1515,Код_КВР,0)+1,2,,,"КВР")))</f>
        <v>Уплата налога на имущество организаций и земельного налога</v>
      </c>
      <c r="B1515" s="44" t="s">
        <v>321</v>
      </c>
      <c r="C1515" s="8" t="s">
        <v>221</v>
      </c>
      <c r="D1515" s="1" t="s">
        <v>198</v>
      </c>
      <c r="E1515" s="115">
        <v>851</v>
      </c>
      <c r="F1515" s="7"/>
      <c r="G1515" s="7"/>
      <c r="H1515" s="36"/>
      <c r="I1515" s="7"/>
      <c r="J1515" s="36"/>
      <c r="K1515" s="7"/>
      <c r="L1515" s="36"/>
      <c r="M1515" s="7">
        <f>'прил.5'!N167</f>
        <v>0.5</v>
      </c>
      <c r="N1515" s="36">
        <f t="shared" si="321"/>
        <v>0.5</v>
      </c>
      <c r="O1515" s="7">
        <f>'прил.5'!P167</f>
        <v>0</v>
      </c>
      <c r="P1515" s="36">
        <f t="shared" si="319"/>
        <v>0.5</v>
      </c>
      <c r="Q1515" s="7">
        <f>'прил.5'!R167</f>
        <v>0</v>
      </c>
      <c r="R1515" s="36">
        <f t="shared" si="318"/>
        <v>0.5</v>
      </c>
    </row>
    <row r="1516" spans="1:18" ht="66.75" customHeight="1">
      <c r="A1516" s="62" t="str">
        <f ca="1">IF(ISERROR(MATCH(B1516,Код_КЦСР,0)),"",INDIRECT(ADDRESS(MATCH(B1516,Код_КЦСР,0)+1,2,,,"КЦСР")))</f>
        <v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v>
      </c>
      <c r="B1516" s="115" t="s">
        <v>638</v>
      </c>
      <c r="C1516" s="8"/>
      <c r="D1516" s="1"/>
      <c r="E1516" s="115"/>
      <c r="F1516" s="7"/>
      <c r="G1516" s="7"/>
      <c r="H1516" s="36"/>
      <c r="I1516" s="7"/>
      <c r="J1516" s="36"/>
      <c r="K1516" s="7"/>
      <c r="L1516" s="36"/>
      <c r="M1516" s="7">
        <f>M1517</f>
        <v>3.4</v>
      </c>
      <c r="N1516" s="36">
        <f t="shared" si="321"/>
        <v>3.4</v>
      </c>
      <c r="O1516" s="7">
        <f>O1517</f>
        <v>0</v>
      </c>
      <c r="P1516" s="36">
        <f t="shared" si="319"/>
        <v>3.4</v>
      </c>
      <c r="Q1516" s="7">
        <f>Q1517</f>
        <v>0</v>
      </c>
      <c r="R1516" s="36">
        <f t="shared" si="318"/>
        <v>3.4</v>
      </c>
    </row>
    <row r="1517" spans="1:18" ht="24.75" customHeight="1">
      <c r="A1517" s="62" t="str">
        <f ca="1">IF(ISERROR(MATCH(C1517,Код_Раздел,0)),"",INDIRECT(ADDRESS(MATCH(C1517,Код_Раздел,0)+1,2,,,"Раздел")))</f>
        <v>Национальная экономика</v>
      </c>
      <c r="B1517" s="115" t="s">
        <v>638</v>
      </c>
      <c r="C1517" s="8" t="s">
        <v>224</v>
      </c>
      <c r="D1517" s="1"/>
      <c r="E1517" s="115"/>
      <c r="F1517" s="7"/>
      <c r="G1517" s="7"/>
      <c r="H1517" s="36"/>
      <c r="I1517" s="7"/>
      <c r="J1517" s="36"/>
      <c r="K1517" s="7"/>
      <c r="L1517" s="36"/>
      <c r="M1517" s="7">
        <f>M1518</f>
        <v>3.4</v>
      </c>
      <c r="N1517" s="36">
        <f t="shared" si="321"/>
        <v>3.4</v>
      </c>
      <c r="O1517" s="7">
        <f>O1518</f>
        <v>0</v>
      </c>
      <c r="P1517" s="36">
        <f t="shared" si="319"/>
        <v>3.4</v>
      </c>
      <c r="Q1517" s="7">
        <f>Q1518</f>
        <v>0</v>
      </c>
      <c r="R1517" s="36">
        <f t="shared" si="318"/>
        <v>3.4</v>
      </c>
    </row>
    <row r="1518" spans="1:18" ht="15.75" customHeight="1">
      <c r="A1518" s="78" t="s">
        <v>211</v>
      </c>
      <c r="B1518" s="115" t="s">
        <v>638</v>
      </c>
      <c r="C1518" s="8" t="s">
        <v>224</v>
      </c>
      <c r="D1518" s="1" t="s">
        <v>221</v>
      </c>
      <c r="E1518" s="115"/>
      <c r="F1518" s="7"/>
      <c r="G1518" s="7"/>
      <c r="H1518" s="36"/>
      <c r="I1518" s="7"/>
      <c r="J1518" s="36"/>
      <c r="K1518" s="7"/>
      <c r="L1518" s="36"/>
      <c r="M1518" s="7">
        <f>M1519</f>
        <v>3.4</v>
      </c>
      <c r="N1518" s="36">
        <f t="shared" si="321"/>
        <v>3.4</v>
      </c>
      <c r="O1518" s="7">
        <f>O1519</f>
        <v>0</v>
      </c>
      <c r="P1518" s="36">
        <f t="shared" si="319"/>
        <v>3.4</v>
      </c>
      <c r="Q1518" s="7">
        <f>Q1519</f>
        <v>0</v>
      </c>
      <c r="R1518" s="36">
        <f t="shared" si="318"/>
        <v>3.4</v>
      </c>
    </row>
    <row r="1519" spans="1:18" ht="41.25" customHeight="1">
      <c r="A1519" s="62" t="str">
        <f ca="1">IF(ISERROR(MATCH(E1519,Код_КВР,0)),"",INDIRECT(ADDRESS(MATCH(E1519,Код_КВР,0)+1,2,,,"КВР")))</f>
        <v>Предоставление субсидий бюджетным, автономным учреждениям и иным некоммерческим организациям</v>
      </c>
      <c r="B1519" s="115" t="s">
        <v>638</v>
      </c>
      <c r="C1519" s="8" t="s">
        <v>224</v>
      </c>
      <c r="D1519" s="1" t="s">
        <v>221</v>
      </c>
      <c r="E1519" s="115">
        <v>600</v>
      </c>
      <c r="F1519" s="7"/>
      <c r="G1519" s="7"/>
      <c r="H1519" s="36"/>
      <c r="I1519" s="7"/>
      <c r="J1519" s="36"/>
      <c r="K1519" s="7"/>
      <c r="L1519" s="36"/>
      <c r="M1519" s="7">
        <f>M1520</f>
        <v>3.4</v>
      </c>
      <c r="N1519" s="36">
        <f t="shared" si="321"/>
        <v>3.4</v>
      </c>
      <c r="O1519" s="7">
        <f>O1520</f>
        <v>0</v>
      </c>
      <c r="P1519" s="36">
        <f t="shared" si="319"/>
        <v>3.4</v>
      </c>
      <c r="Q1519" s="7">
        <f>Q1520</f>
        <v>0</v>
      </c>
      <c r="R1519" s="36">
        <f t="shared" si="318"/>
        <v>3.4</v>
      </c>
    </row>
    <row r="1520" spans="1:18" ht="21.95" customHeight="1">
      <c r="A1520" s="62" t="str">
        <f ca="1">IF(ISERROR(MATCH(E1520,Код_КВР,0)),"",INDIRECT(ADDRESS(MATCH(E1520,Код_КВР,0)+1,2,,,"КВР")))</f>
        <v>Субсидии бюджетным учреждениям</v>
      </c>
      <c r="B1520" s="115" t="s">
        <v>638</v>
      </c>
      <c r="C1520" s="8" t="s">
        <v>224</v>
      </c>
      <c r="D1520" s="1" t="s">
        <v>221</v>
      </c>
      <c r="E1520" s="115">
        <v>610</v>
      </c>
      <c r="F1520" s="7"/>
      <c r="G1520" s="7"/>
      <c r="H1520" s="36"/>
      <c r="I1520" s="7"/>
      <c r="J1520" s="36"/>
      <c r="K1520" s="7"/>
      <c r="L1520" s="36"/>
      <c r="M1520" s="7">
        <f>M1521</f>
        <v>3.4</v>
      </c>
      <c r="N1520" s="36">
        <f t="shared" si="321"/>
        <v>3.4</v>
      </c>
      <c r="O1520" s="7">
        <f>O1521</f>
        <v>0</v>
      </c>
      <c r="P1520" s="36">
        <f t="shared" si="319"/>
        <v>3.4</v>
      </c>
      <c r="Q1520" s="7">
        <f>Q1521</f>
        <v>0</v>
      </c>
      <c r="R1520" s="36">
        <f t="shared" si="318"/>
        <v>3.4</v>
      </c>
    </row>
    <row r="1521" spans="1:18" ht="27.2" customHeight="1">
      <c r="A1521" s="62" t="str">
        <f ca="1">IF(ISERROR(MATCH(E1521,Код_КВР,0)),"",INDIRECT(ADDRESS(MATCH(E1521,Код_КВР,0)+1,2,,,"КВР")))</f>
        <v>Субсидии бюджетным учреждениям на иные цели</v>
      </c>
      <c r="B1521" s="115" t="s">
        <v>638</v>
      </c>
      <c r="C1521" s="8" t="s">
        <v>224</v>
      </c>
      <c r="D1521" s="1" t="s">
        <v>221</v>
      </c>
      <c r="E1521" s="115">
        <v>612</v>
      </c>
      <c r="F1521" s="7"/>
      <c r="G1521" s="7"/>
      <c r="H1521" s="36"/>
      <c r="I1521" s="7"/>
      <c r="J1521" s="36"/>
      <c r="K1521" s="7"/>
      <c r="L1521" s="36"/>
      <c r="M1521" s="7">
        <f>'прил.5'!N573</f>
        <v>3.4</v>
      </c>
      <c r="N1521" s="36">
        <f t="shared" si="321"/>
        <v>3.4</v>
      </c>
      <c r="O1521" s="7">
        <f>'прил.5'!P573</f>
        <v>0</v>
      </c>
      <c r="P1521" s="36">
        <f t="shared" si="319"/>
        <v>3.4</v>
      </c>
      <c r="Q1521" s="7">
        <f>'прил.5'!R573</f>
        <v>0</v>
      </c>
      <c r="R1521" s="36">
        <f t="shared" si="318"/>
        <v>3.4</v>
      </c>
    </row>
    <row r="1522" spans="1:18" ht="12.75">
      <c r="A1522" s="62" t="str">
        <f ca="1">IF(ISERROR(MATCH(B1522,Код_КЦСР,0)),"",INDIRECT(ADDRESS(MATCH(B1522,Код_КЦСР,0)+1,2,,,"КЦСР")))</f>
        <v>Процентные платежи по долговым обязательствам</v>
      </c>
      <c r="B1522" s="44" t="s">
        <v>322</v>
      </c>
      <c r="C1522" s="8"/>
      <c r="D1522" s="1"/>
      <c r="E1522" s="115"/>
      <c r="F1522" s="7">
        <f aca="true" t="shared" si="326" ref="F1522:Q1526">F1523</f>
        <v>46394.2</v>
      </c>
      <c r="G1522" s="7">
        <f t="shared" si="326"/>
        <v>0</v>
      </c>
      <c r="H1522" s="36">
        <f t="shared" si="323"/>
        <v>46394.2</v>
      </c>
      <c r="I1522" s="7">
        <f t="shared" si="326"/>
        <v>0</v>
      </c>
      <c r="J1522" s="36">
        <f t="shared" si="320"/>
        <v>46394.2</v>
      </c>
      <c r="K1522" s="7">
        <f t="shared" si="326"/>
        <v>0</v>
      </c>
      <c r="L1522" s="36">
        <f t="shared" si="315"/>
        <v>46394.2</v>
      </c>
      <c r="M1522" s="7">
        <f t="shared" si="326"/>
        <v>0</v>
      </c>
      <c r="N1522" s="36">
        <f t="shared" si="321"/>
        <v>46394.2</v>
      </c>
      <c r="O1522" s="7">
        <f t="shared" si="326"/>
        <v>0</v>
      </c>
      <c r="P1522" s="36">
        <f t="shared" si="319"/>
        <v>46394.2</v>
      </c>
      <c r="Q1522" s="7">
        <f t="shared" si="326"/>
        <v>0</v>
      </c>
      <c r="R1522" s="36">
        <f t="shared" si="318"/>
        <v>46394.2</v>
      </c>
    </row>
    <row r="1523" spans="1:18" ht="12.75">
      <c r="A1523" s="62" t="str">
        <f ca="1">IF(ISERROR(MATCH(B1523,Код_КЦСР,0)),"",INDIRECT(ADDRESS(MATCH(B1523,Код_КЦСР,0)+1,2,,,"КЦСР")))</f>
        <v>Процентные платежи по муниципальному долгу</v>
      </c>
      <c r="B1523" s="44" t="s">
        <v>323</v>
      </c>
      <c r="C1523" s="8"/>
      <c r="D1523" s="1"/>
      <c r="E1523" s="115"/>
      <c r="F1523" s="7">
        <f t="shared" si="326"/>
        <v>46394.2</v>
      </c>
      <c r="G1523" s="7">
        <f t="shared" si="326"/>
        <v>0</v>
      </c>
      <c r="H1523" s="36">
        <f t="shared" si="323"/>
        <v>46394.2</v>
      </c>
      <c r="I1523" s="7">
        <f t="shared" si="326"/>
        <v>0</v>
      </c>
      <c r="J1523" s="36">
        <f t="shared" si="320"/>
        <v>46394.2</v>
      </c>
      <c r="K1523" s="7">
        <f t="shared" si="326"/>
        <v>0</v>
      </c>
      <c r="L1523" s="36">
        <f t="shared" si="315"/>
        <v>46394.2</v>
      </c>
      <c r="M1523" s="7">
        <f t="shared" si="326"/>
        <v>0</v>
      </c>
      <c r="N1523" s="36">
        <f t="shared" si="321"/>
        <v>46394.2</v>
      </c>
      <c r="O1523" s="7">
        <f t="shared" si="326"/>
        <v>0</v>
      </c>
      <c r="P1523" s="36">
        <f t="shared" si="319"/>
        <v>46394.2</v>
      </c>
      <c r="Q1523" s="7">
        <f t="shared" si="326"/>
        <v>0</v>
      </c>
      <c r="R1523" s="36">
        <f t="shared" si="318"/>
        <v>46394.2</v>
      </c>
    </row>
    <row r="1524" spans="1:18" ht="12.75">
      <c r="A1524" s="62" t="str">
        <f ca="1">IF(ISERROR(MATCH(C1524,Код_Раздел,0)),"",INDIRECT(ADDRESS(MATCH(C1524,Код_Раздел,0)+1,2,,,"Раздел")))</f>
        <v>Обслуживание государственного и муниципального долга</v>
      </c>
      <c r="B1524" s="44" t="s">
        <v>323</v>
      </c>
      <c r="C1524" s="8" t="s">
        <v>198</v>
      </c>
      <c r="D1524" s="1"/>
      <c r="E1524" s="115"/>
      <c r="F1524" s="7">
        <f t="shared" si="326"/>
        <v>46394.2</v>
      </c>
      <c r="G1524" s="7">
        <f t="shared" si="326"/>
        <v>0</v>
      </c>
      <c r="H1524" s="36">
        <f t="shared" si="323"/>
        <v>46394.2</v>
      </c>
      <c r="I1524" s="7">
        <f t="shared" si="326"/>
        <v>0</v>
      </c>
      <c r="J1524" s="36">
        <f t="shared" si="320"/>
        <v>46394.2</v>
      </c>
      <c r="K1524" s="7">
        <f t="shared" si="326"/>
        <v>0</v>
      </c>
      <c r="L1524" s="36">
        <f t="shared" si="315"/>
        <v>46394.2</v>
      </c>
      <c r="M1524" s="7">
        <f t="shared" si="326"/>
        <v>0</v>
      </c>
      <c r="N1524" s="36">
        <f t="shared" si="321"/>
        <v>46394.2</v>
      </c>
      <c r="O1524" s="7">
        <f t="shared" si="326"/>
        <v>0</v>
      </c>
      <c r="P1524" s="36">
        <f t="shared" si="319"/>
        <v>46394.2</v>
      </c>
      <c r="Q1524" s="7">
        <f t="shared" si="326"/>
        <v>0</v>
      </c>
      <c r="R1524" s="36">
        <f t="shared" si="318"/>
        <v>46394.2</v>
      </c>
    </row>
    <row r="1525" spans="1:18" ht="33">
      <c r="A1525" s="12" t="s">
        <v>269</v>
      </c>
      <c r="B1525" s="44" t="s">
        <v>323</v>
      </c>
      <c r="C1525" s="8" t="s">
        <v>198</v>
      </c>
      <c r="D1525" s="1" t="s">
        <v>221</v>
      </c>
      <c r="E1525" s="115"/>
      <c r="F1525" s="7">
        <f t="shared" si="326"/>
        <v>46394.2</v>
      </c>
      <c r="G1525" s="7">
        <f t="shared" si="326"/>
        <v>0</v>
      </c>
      <c r="H1525" s="36">
        <f t="shared" si="323"/>
        <v>46394.2</v>
      </c>
      <c r="I1525" s="7">
        <f t="shared" si="326"/>
        <v>0</v>
      </c>
      <c r="J1525" s="36">
        <f t="shared" si="320"/>
        <v>46394.2</v>
      </c>
      <c r="K1525" s="7">
        <f t="shared" si="326"/>
        <v>0</v>
      </c>
      <c r="L1525" s="36">
        <f t="shared" si="315"/>
        <v>46394.2</v>
      </c>
      <c r="M1525" s="7">
        <f t="shared" si="326"/>
        <v>0</v>
      </c>
      <c r="N1525" s="36">
        <f t="shared" si="321"/>
        <v>46394.2</v>
      </c>
      <c r="O1525" s="7">
        <f t="shared" si="326"/>
        <v>0</v>
      </c>
      <c r="P1525" s="36">
        <f t="shared" si="319"/>
        <v>46394.2</v>
      </c>
      <c r="Q1525" s="7">
        <f t="shared" si="326"/>
        <v>0</v>
      </c>
      <c r="R1525" s="36">
        <f t="shared" si="318"/>
        <v>46394.2</v>
      </c>
    </row>
    <row r="1526" spans="1:18" ht="12.75">
      <c r="A1526" s="62" t="str">
        <f ca="1">IF(ISERROR(MATCH(E1526,Код_КВР,0)),"",INDIRECT(ADDRESS(MATCH(E1526,Код_КВР,0)+1,2,,,"КВР")))</f>
        <v>Обслуживание государственного (муниципального) долга</v>
      </c>
      <c r="B1526" s="44" t="s">
        <v>323</v>
      </c>
      <c r="C1526" s="8" t="s">
        <v>198</v>
      </c>
      <c r="D1526" s="1" t="s">
        <v>221</v>
      </c>
      <c r="E1526" s="115">
        <v>700</v>
      </c>
      <c r="F1526" s="7">
        <f t="shared" si="326"/>
        <v>46394.2</v>
      </c>
      <c r="G1526" s="7">
        <f t="shared" si="326"/>
        <v>0</v>
      </c>
      <c r="H1526" s="36">
        <f t="shared" si="323"/>
        <v>46394.2</v>
      </c>
      <c r="I1526" s="7">
        <f t="shared" si="326"/>
        <v>0</v>
      </c>
      <c r="J1526" s="36">
        <f t="shared" si="320"/>
        <v>46394.2</v>
      </c>
      <c r="K1526" s="7">
        <f t="shared" si="326"/>
        <v>0</v>
      </c>
      <c r="L1526" s="36">
        <f t="shared" si="315"/>
        <v>46394.2</v>
      </c>
      <c r="M1526" s="7">
        <f t="shared" si="326"/>
        <v>0</v>
      </c>
      <c r="N1526" s="36">
        <f t="shared" si="321"/>
        <v>46394.2</v>
      </c>
      <c r="O1526" s="7">
        <f t="shared" si="326"/>
        <v>0</v>
      </c>
      <c r="P1526" s="36">
        <f t="shared" si="319"/>
        <v>46394.2</v>
      </c>
      <c r="Q1526" s="7">
        <f t="shared" si="326"/>
        <v>0</v>
      </c>
      <c r="R1526" s="36">
        <f t="shared" si="318"/>
        <v>46394.2</v>
      </c>
    </row>
    <row r="1527" spans="1:18" ht="12.75">
      <c r="A1527" s="62" t="str">
        <f ca="1">IF(ISERROR(MATCH(E1527,Код_КВР,0)),"",INDIRECT(ADDRESS(MATCH(E1527,Код_КВР,0)+1,2,,,"КВР")))</f>
        <v>Обслуживание муниципального долга</v>
      </c>
      <c r="B1527" s="44" t="s">
        <v>323</v>
      </c>
      <c r="C1527" s="8" t="s">
        <v>198</v>
      </c>
      <c r="D1527" s="1" t="s">
        <v>221</v>
      </c>
      <c r="E1527" s="115">
        <v>730</v>
      </c>
      <c r="F1527" s="7">
        <f>'прил.5'!G891</f>
        <v>46394.2</v>
      </c>
      <c r="G1527" s="7">
        <f>'прил.5'!H891</f>
        <v>0</v>
      </c>
      <c r="H1527" s="36">
        <f t="shared" si="323"/>
        <v>46394.2</v>
      </c>
      <c r="I1527" s="7">
        <f>'прил.5'!J891</f>
        <v>0</v>
      </c>
      <c r="J1527" s="36">
        <f t="shared" si="320"/>
        <v>46394.2</v>
      </c>
      <c r="K1527" s="7">
        <f>'прил.5'!L891</f>
        <v>0</v>
      </c>
      <c r="L1527" s="36">
        <f t="shared" si="315"/>
        <v>46394.2</v>
      </c>
      <c r="M1527" s="7">
        <f>'прил.5'!N891</f>
        <v>0</v>
      </c>
      <c r="N1527" s="36">
        <f t="shared" si="321"/>
        <v>46394.2</v>
      </c>
      <c r="O1527" s="7">
        <f>'прил.5'!P891</f>
        <v>0</v>
      </c>
      <c r="P1527" s="36">
        <f t="shared" si="319"/>
        <v>46394.2</v>
      </c>
      <c r="Q1527" s="7">
        <f>'прил.5'!R891</f>
        <v>0</v>
      </c>
      <c r="R1527" s="36">
        <f t="shared" si="318"/>
        <v>46394.2</v>
      </c>
    </row>
    <row r="1528" spans="1:18" ht="54" customHeight="1">
      <c r="A1528" s="62" t="str">
        <f ca="1">IF(ISERROR(MATCH(B1528,Код_КЦСР,0)),"",INDIRECT(ADDRESS(MATCH(B1528,Код_КЦСР,0)+1,2,,,"КЦСР")))</f>
        <v>Реализация дополнительных мероприятий в сфере занятости населения за счет иных межбюджетных трансфертов из федерального бюджета</v>
      </c>
      <c r="B1528" s="115" t="s">
        <v>636</v>
      </c>
      <c r="C1528" s="8"/>
      <c r="D1528" s="1"/>
      <c r="E1528" s="115"/>
      <c r="F1528" s="7"/>
      <c r="G1528" s="7"/>
      <c r="H1528" s="36"/>
      <c r="I1528" s="7"/>
      <c r="J1528" s="36"/>
      <c r="K1528" s="7"/>
      <c r="L1528" s="36"/>
      <c r="M1528" s="7">
        <f>M1529</f>
        <v>65.5</v>
      </c>
      <c r="N1528" s="36">
        <f t="shared" si="321"/>
        <v>65.5</v>
      </c>
      <c r="O1528" s="7">
        <f>O1529</f>
        <v>0</v>
      </c>
      <c r="P1528" s="36">
        <f t="shared" si="319"/>
        <v>65.5</v>
      </c>
      <c r="Q1528" s="7">
        <f>Q1529</f>
        <v>0</v>
      </c>
      <c r="R1528" s="36">
        <f t="shared" si="318"/>
        <v>65.5</v>
      </c>
    </row>
    <row r="1529" spans="1:18" ht="12.75">
      <c r="A1529" s="62" t="str">
        <f ca="1">IF(ISERROR(MATCH(C1529,Код_Раздел,0)),"",INDIRECT(ADDRESS(MATCH(C1529,Код_Раздел,0)+1,2,,,"Раздел")))</f>
        <v>Национальная экономика</v>
      </c>
      <c r="B1529" s="115" t="s">
        <v>636</v>
      </c>
      <c r="C1529" s="8" t="s">
        <v>224</v>
      </c>
      <c r="D1529" s="1"/>
      <c r="E1529" s="115"/>
      <c r="F1529" s="7"/>
      <c r="G1529" s="7"/>
      <c r="H1529" s="36"/>
      <c r="I1529" s="7"/>
      <c r="J1529" s="36"/>
      <c r="K1529" s="7"/>
      <c r="L1529" s="36"/>
      <c r="M1529" s="7">
        <f>M1530</f>
        <v>65.5</v>
      </c>
      <c r="N1529" s="36">
        <f t="shared" si="321"/>
        <v>65.5</v>
      </c>
      <c r="O1529" s="7">
        <f>O1530</f>
        <v>0</v>
      </c>
      <c r="P1529" s="36">
        <f t="shared" si="319"/>
        <v>65.5</v>
      </c>
      <c r="Q1529" s="7">
        <f>Q1530</f>
        <v>0</v>
      </c>
      <c r="R1529" s="36">
        <f t="shared" si="318"/>
        <v>65.5</v>
      </c>
    </row>
    <row r="1530" spans="1:18" ht="12.75">
      <c r="A1530" s="78" t="s">
        <v>211</v>
      </c>
      <c r="B1530" s="115" t="s">
        <v>636</v>
      </c>
      <c r="C1530" s="8" t="s">
        <v>224</v>
      </c>
      <c r="D1530" s="1" t="s">
        <v>221</v>
      </c>
      <c r="E1530" s="115"/>
      <c r="F1530" s="7"/>
      <c r="G1530" s="7"/>
      <c r="H1530" s="36"/>
      <c r="I1530" s="7"/>
      <c r="J1530" s="36"/>
      <c r="K1530" s="7"/>
      <c r="L1530" s="36"/>
      <c r="M1530" s="7">
        <f>M1531</f>
        <v>65.5</v>
      </c>
      <c r="N1530" s="36">
        <f t="shared" si="321"/>
        <v>65.5</v>
      </c>
      <c r="O1530" s="7">
        <f>O1531</f>
        <v>0</v>
      </c>
      <c r="P1530" s="36">
        <f t="shared" si="319"/>
        <v>65.5</v>
      </c>
      <c r="Q1530" s="7">
        <f>Q1531</f>
        <v>0</v>
      </c>
      <c r="R1530" s="36">
        <f t="shared" si="318"/>
        <v>65.5</v>
      </c>
    </row>
    <row r="1531" spans="1:18" ht="33">
      <c r="A1531" s="62" t="str">
        <f ca="1">IF(ISERROR(MATCH(E1531,Код_КВР,0)),"",INDIRECT(ADDRESS(MATCH(E1531,Код_КВР,0)+1,2,,,"КВР")))</f>
        <v>Предоставление субсидий бюджетным, автономным учреждениям и иным некоммерческим организациям</v>
      </c>
      <c r="B1531" s="115" t="s">
        <v>636</v>
      </c>
      <c r="C1531" s="8" t="s">
        <v>224</v>
      </c>
      <c r="D1531" s="1" t="s">
        <v>221</v>
      </c>
      <c r="E1531" s="115">
        <v>600</v>
      </c>
      <c r="F1531" s="7"/>
      <c r="G1531" s="7"/>
      <c r="H1531" s="36"/>
      <c r="I1531" s="7"/>
      <c r="J1531" s="36"/>
      <c r="K1531" s="7"/>
      <c r="L1531" s="36"/>
      <c r="M1531" s="7">
        <f>M1532</f>
        <v>65.5</v>
      </c>
      <c r="N1531" s="36">
        <f t="shared" si="321"/>
        <v>65.5</v>
      </c>
      <c r="O1531" s="7">
        <f>O1532</f>
        <v>0</v>
      </c>
      <c r="P1531" s="36">
        <f t="shared" si="319"/>
        <v>65.5</v>
      </c>
      <c r="Q1531" s="7">
        <f>Q1532</f>
        <v>0</v>
      </c>
      <c r="R1531" s="36">
        <f t="shared" si="318"/>
        <v>65.5</v>
      </c>
    </row>
    <row r="1532" spans="1:18" ht="12.75">
      <c r="A1532" s="62" t="str">
        <f ca="1">IF(ISERROR(MATCH(E1532,Код_КВР,0)),"",INDIRECT(ADDRESS(MATCH(E1532,Код_КВР,0)+1,2,,,"КВР")))</f>
        <v>Субсидии бюджетным учреждениям</v>
      </c>
      <c r="B1532" s="115" t="s">
        <v>636</v>
      </c>
      <c r="C1532" s="8" t="s">
        <v>224</v>
      </c>
      <c r="D1532" s="1" t="s">
        <v>221</v>
      </c>
      <c r="E1532" s="115">
        <v>610</v>
      </c>
      <c r="F1532" s="7"/>
      <c r="G1532" s="7"/>
      <c r="H1532" s="36"/>
      <c r="I1532" s="7"/>
      <c r="J1532" s="36"/>
      <c r="K1532" s="7"/>
      <c r="L1532" s="36"/>
      <c r="M1532" s="7">
        <f>M1533</f>
        <v>65.5</v>
      </c>
      <c r="N1532" s="36">
        <f t="shared" si="321"/>
        <v>65.5</v>
      </c>
      <c r="O1532" s="7">
        <f>O1533</f>
        <v>0</v>
      </c>
      <c r="P1532" s="36">
        <f t="shared" si="319"/>
        <v>65.5</v>
      </c>
      <c r="Q1532" s="7">
        <f>Q1533</f>
        <v>0</v>
      </c>
      <c r="R1532" s="36">
        <f t="shared" si="318"/>
        <v>65.5</v>
      </c>
    </row>
    <row r="1533" spans="1:18" ht="12.75">
      <c r="A1533" s="62" t="str">
        <f ca="1">IF(ISERROR(MATCH(E1533,Код_КВР,0)),"",INDIRECT(ADDRESS(MATCH(E1533,Код_КВР,0)+1,2,,,"КВР")))</f>
        <v>Субсидии бюджетным учреждениям на иные цели</v>
      </c>
      <c r="B1533" s="115" t="s">
        <v>636</v>
      </c>
      <c r="C1533" s="8" t="s">
        <v>224</v>
      </c>
      <c r="D1533" s="1" t="s">
        <v>221</v>
      </c>
      <c r="E1533" s="115">
        <v>612</v>
      </c>
      <c r="F1533" s="7"/>
      <c r="G1533" s="7"/>
      <c r="H1533" s="36"/>
      <c r="I1533" s="7"/>
      <c r="J1533" s="36"/>
      <c r="K1533" s="7"/>
      <c r="L1533" s="36"/>
      <c r="M1533" s="7">
        <f>'прил.5'!N577</f>
        <v>65.5</v>
      </c>
      <c r="N1533" s="36">
        <f t="shared" si="321"/>
        <v>65.5</v>
      </c>
      <c r="O1533" s="7">
        <f>'прил.5'!P577</f>
        <v>0</v>
      </c>
      <c r="P1533" s="36">
        <f t="shared" si="319"/>
        <v>65.5</v>
      </c>
      <c r="Q1533" s="7">
        <f>'прил.5'!R577</f>
        <v>0</v>
      </c>
      <c r="R1533" s="36">
        <f t="shared" si="318"/>
        <v>65.5</v>
      </c>
    </row>
    <row r="1534" spans="1:18" ht="66">
      <c r="A1534" s="62" t="str">
        <f ca="1">IF(ISERROR(MATCH(B1534,Код_КЦСР,0)),"",INDIRECT(ADDRESS(MATCH(B1534,Код_КЦСР,0)+1,2,,,"КЦСР")))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534" s="115" t="s">
        <v>391</v>
      </c>
      <c r="C1534" s="8"/>
      <c r="D1534" s="1"/>
      <c r="E1534" s="115"/>
      <c r="F1534" s="7">
        <f aca="true" t="shared" si="327" ref="F1534:Q1538">F1535</f>
        <v>0</v>
      </c>
      <c r="G1534" s="7">
        <f t="shared" si="327"/>
        <v>0</v>
      </c>
      <c r="H1534" s="36">
        <f aca="true" t="shared" si="328" ref="H1534:H1539">F1534+G1534</f>
        <v>0</v>
      </c>
      <c r="I1534" s="7">
        <f t="shared" si="327"/>
        <v>0</v>
      </c>
      <c r="J1534" s="36">
        <f aca="true" t="shared" si="329" ref="J1534:J1539">H1534+I1534</f>
        <v>0</v>
      </c>
      <c r="K1534" s="7">
        <f t="shared" si="327"/>
        <v>0</v>
      </c>
      <c r="L1534" s="36">
        <f aca="true" t="shared" si="330" ref="L1534:L1539">J1534+K1534</f>
        <v>0</v>
      </c>
      <c r="M1534" s="7">
        <f t="shared" si="327"/>
        <v>21.9</v>
      </c>
      <c r="N1534" s="36">
        <f t="shared" si="321"/>
        <v>21.9</v>
      </c>
      <c r="O1534" s="7">
        <f t="shared" si="327"/>
        <v>0</v>
      </c>
      <c r="P1534" s="36">
        <f t="shared" si="319"/>
        <v>21.9</v>
      </c>
      <c r="Q1534" s="7">
        <f t="shared" si="327"/>
        <v>0</v>
      </c>
      <c r="R1534" s="36">
        <f t="shared" si="318"/>
        <v>21.9</v>
      </c>
    </row>
    <row r="1535" spans="1:18" ht="12.75">
      <c r="A1535" s="62" t="str">
        <f ca="1">IF(ISERROR(MATCH(C1535,Код_Раздел,0)),"",INDIRECT(ADDRESS(MATCH(C1535,Код_Раздел,0)+1,2,,,"Раздел")))</f>
        <v>Общегосударственные  вопросы</v>
      </c>
      <c r="B1535" s="115" t="s">
        <v>391</v>
      </c>
      <c r="C1535" s="8" t="s">
        <v>221</v>
      </c>
      <c r="D1535" s="1"/>
      <c r="E1535" s="115"/>
      <c r="F1535" s="7">
        <f t="shared" si="327"/>
        <v>0</v>
      </c>
      <c r="G1535" s="7">
        <f t="shared" si="327"/>
        <v>0</v>
      </c>
      <c r="H1535" s="36">
        <f t="shared" si="328"/>
        <v>0</v>
      </c>
      <c r="I1535" s="7">
        <f t="shared" si="327"/>
        <v>0</v>
      </c>
      <c r="J1535" s="36">
        <f t="shared" si="329"/>
        <v>0</v>
      </c>
      <c r="K1535" s="7">
        <f t="shared" si="327"/>
        <v>0</v>
      </c>
      <c r="L1535" s="36">
        <f t="shared" si="330"/>
        <v>0</v>
      </c>
      <c r="M1535" s="7">
        <f t="shared" si="327"/>
        <v>21.9</v>
      </c>
      <c r="N1535" s="36">
        <f>L1535+M1535</f>
        <v>21.9</v>
      </c>
      <c r="O1535" s="7">
        <f t="shared" si="327"/>
        <v>0</v>
      </c>
      <c r="P1535" s="36">
        <f t="shared" si="319"/>
        <v>21.9</v>
      </c>
      <c r="Q1535" s="7">
        <f t="shared" si="327"/>
        <v>0</v>
      </c>
      <c r="R1535" s="36">
        <f t="shared" si="318"/>
        <v>21.9</v>
      </c>
    </row>
    <row r="1536" spans="1:18" ht="12.75">
      <c r="A1536" s="78" t="s">
        <v>383</v>
      </c>
      <c r="B1536" s="115" t="s">
        <v>391</v>
      </c>
      <c r="C1536" s="8" t="s">
        <v>221</v>
      </c>
      <c r="D1536" s="1" t="s">
        <v>229</v>
      </c>
      <c r="E1536" s="115"/>
      <c r="F1536" s="7">
        <f t="shared" si="327"/>
        <v>0</v>
      </c>
      <c r="G1536" s="7">
        <f t="shared" si="327"/>
        <v>0</v>
      </c>
      <c r="H1536" s="36">
        <f t="shared" si="328"/>
        <v>0</v>
      </c>
      <c r="I1536" s="7">
        <f t="shared" si="327"/>
        <v>0</v>
      </c>
      <c r="J1536" s="36">
        <f t="shared" si="329"/>
        <v>0</v>
      </c>
      <c r="K1536" s="7">
        <f t="shared" si="327"/>
        <v>0</v>
      </c>
      <c r="L1536" s="36">
        <f t="shared" si="330"/>
        <v>0</v>
      </c>
      <c r="M1536" s="7">
        <f t="shared" si="327"/>
        <v>21.9</v>
      </c>
      <c r="N1536" s="36">
        <f>L1536+M1536</f>
        <v>21.9</v>
      </c>
      <c r="O1536" s="7">
        <f t="shared" si="327"/>
        <v>0</v>
      </c>
      <c r="P1536" s="36">
        <f t="shared" si="319"/>
        <v>21.9</v>
      </c>
      <c r="Q1536" s="7">
        <f t="shared" si="327"/>
        <v>0</v>
      </c>
      <c r="R1536" s="36">
        <f t="shared" si="318"/>
        <v>21.9</v>
      </c>
    </row>
    <row r="1537" spans="1:18" ht="12.75">
      <c r="A1537" s="62" t="str">
        <f ca="1">IF(ISERROR(MATCH(E1537,Код_КВР,0)),"",INDIRECT(ADDRESS(MATCH(E1537,Код_КВР,0)+1,2,,,"КВР")))</f>
        <v>Закупка товаров, работ и услуг для муниципальных нужд</v>
      </c>
      <c r="B1537" s="115" t="s">
        <v>391</v>
      </c>
      <c r="C1537" s="8" t="s">
        <v>221</v>
      </c>
      <c r="D1537" s="1" t="s">
        <v>229</v>
      </c>
      <c r="E1537" s="115">
        <v>200</v>
      </c>
      <c r="F1537" s="7">
        <f t="shared" si="327"/>
        <v>0</v>
      </c>
      <c r="G1537" s="7">
        <f t="shared" si="327"/>
        <v>0</v>
      </c>
      <c r="H1537" s="36">
        <f t="shared" si="328"/>
        <v>0</v>
      </c>
      <c r="I1537" s="7">
        <f t="shared" si="327"/>
        <v>0</v>
      </c>
      <c r="J1537" s="36">
        <f t="shared" si="329"/>
        <v>0</v>
      </c>
      <c r="K1537" s="7">
        <f t="shared" si="327"/>
        <v>0</v>
      </c>
      <c r="L1537" s="36">
        <f t="shared" si="330"/>
        <v>0</v>
      </c>
      <c r="M1537" s="7">
        <f t="shared" si="327"/>
        <v>21.9</v>
      </c>
      <c r="N1537" s="36">
        <f>L1537+M1537</f>
        <v>21.9</v>
      </c>
      <c r="O1537" s="7">
        <f t="shared" si="327"/>
        <v>0</v>
      </c>
      <c r="P1537" s="36">
        <f t="shared" si="319"/>
        <v>21.9</v>
      </c>
      <c r="Q1537" s="7">
        <f t="shared" si="327"/>
        <v>0</v>
      </c>
      <c r="R1537" s="36">
        <f t="shared" si="318"/>
        <v>21.9</v>
      </c>
    </row>
    <row r="1538" spans="1:18" ht="33">
      <c r="A1538" s="62" t="str">
        <f ca="1">IF(ISERROR(MATCH(E1538,Код_КВР,0)),"",INDIRECT(ADDRESS(MATCH(E1538,Код_КВР,0)+1,2,,,"КВР")))</f>
        <v>Иные закупки товаров, работ и услуг для обеспечения муниципальных нужд</v>
      </c>
      <c r="B1538" s="115" t="s">
        <v>391</v>
      </c>
      <c r="C1538" s="8" t="s">
        <v>221</v>
      </c>
      <c r="D1538" s="1" t="s">
        <v>229</v>
      </c>
      <c r="E1538" s="115">
        <v>240</v>
      </c>
      <c r="F1538" s="7">
        <f t="shared" si="327"/>
        <v>0</v>
      </c>
      <c r="G1538" s="7">
        <f t="shared" si="327"/>
        <v>0</v>
      </c>
      <c r="H1538" s="36">
        <f t="shared" si="328"/>
        <v>0</v>
      </c>
      <c r="I1538" s="7">
        <f t="shared" si="327"/>
        <v>0</v>
      </c>
      <c r="J1538" s="36">
        <f t="shared" si="329"/>
        <v>0</v>
      </c>
      <c r="K1538" s="7">
        <f t="shared" si="327"/>
        <v>0</v>
      </c>
      <c r="L1538" s="36">
        <f t="shared" si="330"/>
        <v>0</v>
      </c>
      <c r="M1538" s="7">
        <f t="shared" si="327"/>
        <v>21.9</v>
      </c>
      <c r="N1538" s="36">
        <f>L1538+M1538</f>
        <v>21.9</v>
      </c>
      <c r="O1538" s="7">
        <f t="shared" si="327"/>
        <v>0</v>
      </c>
      <c r="P1538" s="36">
        <f t="shared" si="319"/>
        <v>21.9</v>
      </c>
      <c r="Q1538" s="7">
        <f t="shared" si="327"/>
        <v>0</v>
      </c>
      <c r="R1538" s="36">
        <f t="shared" si="318"/>
        <v>21.9</v>
      </c>
    </row>
    <row r="1539" spans="1:18" ht="33">
      <c r="A1539" s="62" t="str">
        <f ca="1">IF(ISERROR(MATCH(E1539,Код_КВР,0)),"",INDIRECT(ADDRESS(MATCH(E1539,Код_КВР,0)+1,2,,,"КВР")))</f>
        <v xml:space="preserve">Прочая закупка товаров, работ и услуг для обеспечения муниципальных нужд         </v>
      </c>
      <c r="B1539" s="115" t="s">
        <v>391</v>
      </c>
      <c r="C1539" s="8" t="s">
        <v>221</v>
      </c>
      <c r="D1539" s="1" t="s">
        <v>229</v>
      </c>
      <c r="E1539" s="115">
        <v>244</v>
      </c>
      <c r="F1539" s="7">
        <f>'прил.5'!G68</f>
        <v>0</v>
      </c>
      <c r="G1539" s="7">
        <f>'прил.5'!H68</f>
        <v>0</v>
      </c>
      <c r="H1539" s="36">
        <f t="shared" si="328"/>
        <v>0</v>
      </c>
      <c r="I1539" s="7">
        <f>'прил.5'!J68</f>
        <v>0</v>
      </c>
      <c r="J1539" s="36">
        <f t="shared" si="329"/>
        <v>0</v>
      </c>
      <c r="K1539" s="7">
        <f>'прил.5'!L68</f>
        <v>0</v>
      </c>
      <c r="L1539" s="36">
        <f t="shared" si="330"/>
        <v>0</v>
      </c>
      <c r="M1539" s="7">
        <f>'прил.5'!N68</f>
        <v>21.9</v>
      </c>
      <c r="N1539" s="36">
        <f>L1539+M1539</f>
        <v>21.9</v>
      </c>
      <c r="O1539" s="7">
        <f>'прил.5'!P68</f>
        <v>0</v>
      </c>
      <c r="P1539" s="36">
        <f t="shared" si="319"/>
        <v>21.9</v>
      </c>
      <c r="Q1539" s="7">
        <f>'прил.5'!R68</f>
        <v>0</v>
      </c>
      <c r="R1539" s="36">
        <f t="shared" si="318"/>
        <v>21.9</v>
      </c>
    </row>
    <row r="1540" spans="1:18" ht="33">
      <c r="A1540" s="62" t="str">
        <f ca="1">IF(ISERROR(MATCH(B1540,Код_КЦСР,0)),"",INDIRECT(ADDRESS(MATCH(B1540,Код_КЦСР,0)+1,2,,,"КЦСР")))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540" s="116" t="s">
        <v>409</v>
      </c>
      <c r="C1540" s="8"/>
      <c r="D1540" s="1"/>
      <c r="E1540" s="115"/>
      <c r="F1540" s="7">
        <f aca="true" t="shared" si="331" ref="F1540:Q1543">F1541</f>
        <v>1390</v>
      </c>
      <c r="G1540" s="7">
        <f t="shared" si="331"/>
        <v>0</v>
      </c>
      <c r="H1540" s="36">
        <f t="shared" si="323"/>
        <v>1390</v>
      </c>
      <c r="I1540" s="7">
        <f>I1541</f>
        <v>0</v>
      </c>
      <c r="J1540" s="36">
        <f t="shared" si="320"/>
        <v>1390</v>
      </c>
      <c r="K1540" s="7">
        <f>K1541</f>
        <v>0</v>
      </c>
      <c r="L1540" s="36">
        <f t="shared" si="315"/>
        <v>1390</v>
      </c>
      <c r="M1540" s="7">
        <f>M1541</f>
        <v>0</v>
      </c>
      <c r="N1540" s="36">
        <f t="shared" si="321"/>
        <v>1390</v>
      </c>
      <c r="O1540" s="7">
        <f>O1541</f>
        <v>0</v>
      </c>
      <c r="P1540" s="36">
        <f t="shared" si="319"/>
        <v>1390</v>
      </c>
      <c r="Q1540" s="7">
        <f>Q1541</f>
        <v>0</v>
      </c>
      <c r="R1540" s="36">
        <f t="shared" si="318"/>
        <v>1390</v>
      </c>
    </row>
    <row r="1541" spans="1:18" ht="12.75">
      <c r="A1541" s="62" t="str">
        <f ca="1">IF(ISERROR(MATCH(C1541,Код_Раздел,0)),"",INDIRECT(ADDRESS(MATCH(C1541,Код_Раздел,0)+1,2,,,"Раздел")))</f>
        <v>Социальная политика</v>
      </c>
      <c r="B1541" s="116" t="s">
        <v>409</v>
      </c>
      <c r="C1541" s="8" t="s">
        <v>196</v>
      </c>
      <c r="D1541" s="1"/>
      <c r="E1541" s="115"/>
      <c r="F1541" s="7">
        <f t="shared" si="331"/>
        <v>1390</v>
      </c>
      <c r="G1541" s="7">
        <f t="shared" si="331"/>
        <v>0</v>
      </c>
      <c r="H1541" s="36">
        <f t="shared" si="323"/>
        <v>1390</v>
      </c>
      <c r="I1541" s="7">
        <f t="shared" si="331"/>
        <v>0</v>
      </c>
      <c r="J1541" s="36">
        <f t="shared" si="320"/>
        <v>1390</v>
      </c>
      <c r="K1541" s="7">
        <f t="shared" si="331"/>
        <v>0</v>
      </c>
      <c r="L1541" s="36">
        <f aca="true" t="shared" si="332" ref="L1541:L1598">J1541+K1541</f>
        <v>1390</v>
      </c>
      <c r="M1541" s="7">
        <f t="shared" si="331"/>
        <v>0</v>
      </c>
      <c r="N1541" s="36">
        <f t="shared" si="321"/>
        <v>1390</v>
      </c>
      <c r="O1541" s="7">
        <f t="shared" si="331"/>
        <v>0</v>
      </c>
      <c r="P1541" s="36">
        <f t="shared" si="319"/>
        <v>1390</v>
      </c>
      <c r="Q1541" s="7">
        <f t="shared" si="331"/>
        <v>0</v>
      </c>
      <c r="R1541" s="36">
        <f t="shared" si="318"/>
        <v>1390</v>
      </c>
    </row>
    <row r="1542" spans="1:18" ht="12.75">
      <c r="A1542" s="12" t="s">
        <v>197</v>
      </c>
      <c r="B1542" s="116" t="s">
        <v>409</v>
      </c>
      <c r="C1542" s="8" t="s">
        <v>196</v>
      </c>
      <c r="D1542" s="1" t="s">
        <v>225</v>
      </c>
      <c r="E1542" s="115"/>
      <c r="F1542" s="7">
        <f t="shared" si="331"/>
        <v>1390</v>
      </c>
      <c r="G1542" s="7">
        <f t="shared" si="331"/>
        <v>0</v>
      </c>
      <c r="H1542" s="36">
        <f t="shared" si="323"/>
        <v>1390</v>
      </c>
      <c r="I1542" s="7">
        <f>I1543+I1545</f>
        <v>0</v>
      </c>
      <c r="J1542" s="36">
        <f t="shared" si="320"/>
        <v>1390</v>
      </c>
      <c r="K1542" s="7">
        <f>K1543+K1545</f>
        <v>0</v>
      </c>
      <c r="L1542" s="36">
        <f t="shared" si="332"/>
        <v>1390</v>
      </c>
      <c r="M1542" s="7">
        <f>M1543+M1545</f>
        <v>0</v>
      </c>
      <c r="N1542" s="36">
        <f t="shared" si="321"/>
        <v>1390</v>
      </c>
      <c r="O1542" s="7">
        <f>O1543+O1545</f>
        <v>0</v>
      </c>
      <c r="P1542" s="36">
        <f t="shared" si="319"/>
        <v>1390</v>
      </c>
      <c r="Q1542" s="7">
        <f>Q1543+Q1545</f>
        <v>0</v>
      </c>
      <c r="R1542" s="36">
        <f t="shared" si="318"/>
        <v>1390</v>
      </c>
    </row>
    <row r="1543" spans="1:18" ht="33">
      <c r="A1543" s="62" t="str">
        <f ca="1">IF(ISERROR(MATCH(E1543,Код_КВР,0)),"",INDIRECT(ADDRESS(MATCH(E1543,Код_КВР,0)+1,2,,,"КВР")))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43" s="116" t="s">
        <v>409</v>
      </c>
      <c r="C1543" s="8" t="s">
        <v>196</v>
      </c>
      <c r="D1543" s="1" t="s">
        <v>225</v>
      </c>
      <c r="E1543" s="115">
        <v>100</v>
      </c>
      <c r="F1543" s="7">
        <f t="shared" si="331"/>
        <v>1390</v>
      </c>
      <c r="G1543" s="7">
        <f t="shared" si="331"/>
        <v>0</v>
      </c>
      <c r="H1543" s="36">
        <f t="shared" si="323"/>
        <v>1390</v>
      </c>
      <c r="I1543" s="7">
        <f t="shared" si="331"/>
        <v>-435</v>
      </c>
      <c r="J1543" s="36">
        <f t="shared" si="320"/>
        <v>955</v>
      </c>
      <c r="K1543" s="7">
        <f t="shared" si="331"/>
        <v>0</v>
      </c>
      <c r="L1543" s="36">
        <f t="shared" si="332"/>
        <v>955</v>
      </c>
      <c r="M1543" s="7">
        <f t="shared" si="331"/>
        <v>0</v>
      </c>
      <c r="N1543" s="36">
        <f t="shared" si="321"/>
        <v>955</v>
      </c>
      <c r="O1543" s="7">
        <f t="shared" si="331"/>
        <v>0</v>
      </c>
      <c r="P1543" s="36">
        <f t="shared" si="319"/>
        <v>955</v>
      </c>
      <c r="Q1543" s="7">
        <f t="shared" si="331"/>
        <v>0</v>
      </c>
      <c r="R1543" s="36">
        <f aca="true" t="shared" si="333" ref="R1543:R1606">P1543+Q1543</f>
        <v>955</v>
      </c>
    </row>
    <row r="1544" spans="1:18" ht="12.75">
      <c r="A1544" s="62" t="str">
        <f ca="1">IF(ISERROR(MATCH(E1544,Код_КВР,0)),"",INDIRECT(ADDRESS(MATCH(E1544,Код_КВР,0)+1,2,,,"КВР")))</f>
        <v>Расходы на выплаты персоналу муниципальных органов</v>
      </c>
      <c r="B1544" s="116" t="s">
        <v>409</v>
      </c>
      <c r="C1544" s="8" t="s">
        <v>196</v>
      </c>
      <c r="D1544" s="1" t="s">
        <v>225</v>
      </c>
      <c r="E1544" s="115">
        <v>120</v>
      </c>
      <c r="F1544" s="7">
        <f>'прил.5'!G1356</f>
        <v>1390</v>
      </c>
      <c r="G1544" s="7">
        <f>'прил.5'!H1356</f>
        <v>0</v>
      </c>
      <c r="H1544" s="36">
        <f t="shared" si="323"/>
        <v>1390</v>
      </c>
      <c r="I1544" s="7">
        <f>'прил.5'!J1356</f>
        <v>-435</v>
      </c>
      <c r="J1544" s="36">
        <f t="shared" si="320"/>
        <v>955</v>
      </c>
      <c r="K1544" s="7">
        <f>'прил.5'!L1356</f>
        <v>0</v>
      </c>
      <c r="L1544" s="36">
        <f t="shared" si="332"/>
        <v>955</v>
      </c>
      <c r="M1544" s="7">
        <f>'прил.5'!N1356</f>
        <v>0</v>
      </c>
      <c r="N1544" s="36">
        <f t="shared" si="321"/>
        <v>955</v>
      </c>
      <c r="O1544" s="7">
        <f>'прил.5'!P1356</f>
        <v>0</v>
      </c>
      <c r="P1544" s="36">
        <f t="shared" si="319"/>
        <v>955</v>
      </c>
      <c r="Q1544" s="7">
        <f>'прил.5'!R1356</f>
        <v>0</v>
      </c>
      <c r="R1544" s="36">
        <f t="shared" si="333"/>
        <v>955</v>
      </c>
    </row>
    <row r="1545" spans="1:18" ht="12.75">
      <c r="A1545" s="62" t="str">
        <f ca="1">IF(ISERROR(MATCH(E1545,Код_КВР,0)),"",INDIRECT(ADDRESS(MATCH(E1545,Код_КВР,0)+1,2,,,"КВР")))</f>
        <v>Закупка товаров, работ и услуг для муниципальных нужд</v>
      </c>
      <c r="B1545" s="116" t="s">
        <v>409</v>
      </c>
      <c r="C1545" s="8" t="s">
        <v>196</v>
      </c>
      <c r="D1545" s="1" t="s">
        <v>225</v>
      </c>
      <c r="E1545" s="115">
        <v>200</v>
      </c>
      <c r="F1545" s="7"/>
      <c r="G1545" s="7"/>
      <c r="H1545" s="36"/>
      <c r="I1545" s="7">
        <f>I1546</f>
        <v>435</v>
      </c>
      <c r="J1545" s="36">
        <f t="shared" si="320"/>
        <v>435</v>
      </c>
      <c r="K1545" s="7">
        <f>K1546</f>
        <v>0</v>
      </c>
      <c r="L1545" s="36">
        <f t="shared" si="332"/>
        <v>435</v>
      </c>
      <c r="M1545" s="7">
        <f>M1546</f>
        <v>0</v>
      </c>
      <c r="N1545" s="36">
        <f t="shared" si="321"/>
        <v>435</v>
      </c>
      <c r="O1545" s="7">
        <f>O1546</f>
        <v>0</v>
      </c>
      <c r="P1545" s="36">
        <f t="shared" si="319"/>
        <v>435</v>
      </c>
      <c r="Q1545" s="7">
        <f>Q1546</f>
        <v>0</v>
      </c>
      <c r="R1545" s="36">
        <f t="shared" si="333"/>
        <v>435</v>
      </c>
    </row>
    <row r="1546" spans="1:18" ht="33">
      <c r="A1546" s="62" t="str">
        <f ca="1">IF(ISERROR(MATCH(E1546,Код_КВР,0)),"",INDIRECT(ADDRESS(MATCH(E1546,Код_КВР,0)+1,2,,,"КВР")))</f>
        <v>Иные закупки товаров, работ и услуг для обеспечения муниципальных нужд</v>
      </c>
      <c r="B1546" s="116" t="s">
        <v>409</v>
      </c>
      <c r="C1546" s="8" t="s">
        <v>196</v>
      </c>
      <c r="D1546" s="1" t="s">
        <v>225</v>
      </c>
      <c r="E1546" s="115">
        <v>240</v>
      </c>
      <c r="F1546" s="7"/>
      <c r="G1546" s="7"/>
      <c r="H1546" s="36"/>
      <c r="I1546" s="7">
        <f>I1547</f>
        <v>435</v>
      </c>
      <c r="J1546" s="36">
        <f t="shared" si="320"/>
        <v>435</v>
      </c>
      <c r="K1546" s="7">
        <f>K1547</f>
        <v>0</v>
      </c>
      <c r="L1546" s="36">
        <f t="shared" si="332"/>
        <v>435</v>
      </c>
      <c r="M1546" s="7">
        <f>M1547</f>
        <v>0</v>
      </c>
      <c r="N1546" s="36">
        <f t="shared" si="321"/>
        <v>435</v>
      </c>
      <c r="O1546" s="7">
        <f>O1547</f>
        <v>0</v>
      </c>
      <c r="P1546" s="36">
        <f t="shared" si="319"/>
        <v>435</v>
      </c>
      <c r="Q1546" s="7">
        <f>Q1547</f>
        <v>0</v>
      </c>
      <c r="R1546" s="36">
        <f t="shared" si="333"/>
        <v>435</v>
      </c>
    </row>
    <row r="1547" spans="1:18" ht="33">
      <c r="A1547" s="62" t="str">
        <f ca="1">IF(ISERROR(MATCH(E1547,Код_КВР,0)),"",INDIRECT(ADDRESS(MATCH(E1547,Код_КВР,0)+1,2,,,"КВР")))</f>
        <v xml:space="preserve">Прочая закупка товаров, работ и услуг для обеспечения муниципальных нужд         </v>
      </c>
      <c r="B1547" s="116" t="s">
        <v>409</v>
      </c>
      <c r="C1547" s="8" t="s">
        <v>196</v>
      </c>
      <c r="D1547" s="1" t="s">
        <v>225</v>
      </c>
      <c r="E1547" s="115">
        <v>244</v>
      </c>
      <c r="F1547" s="7"/>
      <c r="G1547" s="7"/>
      <c r="H1547" s="36"/>
      <c r="I1547" s="7">
        <f>'прил.5'!J1359</f>
        <v>435</v>
      </c>
      <c r="J1547" s="36">
        <f t="shared" si="320"/>
        <v>435</v>
      </c>
      <c r="K1547" s="7">
        <f>'прил.5'!L1359</f>
        <v>0</v>
      </c>
      <c r="L1547" s="36">
        <f t="shared" si="332"/>
        <v>435</v>
      </c>
      <c r="M1547" s="7">
        <f>'прил.5'!N1359</f>
        <v>0</v>
      </c>
      <c r="N1547" s="36">
        <f t="shared" si="321"/>
        <v>435</v>
      </c>
      <c r="O1547" s="7">
        <f>'прил.5'!P1359</f>
        <v>0</v>
      </c>
      <c r="P1547" s="36">
        <f t="shared" si="319"/>
        <v>435</v>
      </c>
      <c r="Q1547" s="7">
        <f>'прил.5'!R1359</f>
        <v>0</v>
      </c>
      <c r="R1547" s="36">
        <f t="shared" si="333"/>
        <v>435</v>
      </c>
    </row>
    <row r="1548" spans="1:18" ht="12.75">
      <c r="A1548" s="62" t="str">
        <f ca="1">IF(ISERROR(MATCH(B1548,Код_КЦСР,0)),"",INDIRECT(ADDRESS(MATCH(B1548,Код_КЦСР,0)+1,2,,,"КЦСР")))</f>
        <v>Кредиторская задолженность, сложившаяся по итогам 2013 года</v>
      </c>
      <c r="B1548" s="116" t="s">
        <v>379</v>
      </c>
      <c r="C1548" s="8"/>
      <c r="D1548" s="1"/>
      <c r="E1548" s="115"/>
      <c r="F1548" s="7">
        <f aca="true" t="shared" si="334" ref="F1548:Q1552">F1549</f>
        <v>117199.6</v>
      </c>
      <c r="G1548" s="7">
        <f t="shared" si="334"/>
        <v>-64000</v>
      </c>
      <c r="H1548" s="36">
        <f aca="true" t="shared" si="335" ref="H1548:H1553">F1548+G1548</f>
        <v>53199.600000000006</v>
      </c>
      <c r="I1548" s="7">
        <f>I1549+I1554+I1578+I1569</f>
        <v>-1.8189894035458565E-12</v>
      </c>
      <c r="J1548" s="36">
        <f aca="true" t="shared" si="336" ref="J1548:J1568">H1548+I1548</f>
        <v>53199.600000000006</v>
      </c>
      <c r="K1548" s="7">
        <f>K1549+K1554+K1578+K1569</f>
        <v>-3020</v>
      </c>
      <c r="L1548" s="36">
        <f t="shared" si="332"/>
        <v>50179.600000000006</v>
      </c>
      <c r="M1548" s="7">
        <f>M1549+M1554+M1578+M1569</f>
        <v>0</v>
      </c>
      <c r="N1548" s="36">
        <f t="shared" si="321"/>
        <v>50179.600000000006</v>
      </c>
      <c r="O1548" s="7">
        <f>O1549+O1554+O1578+O1569</f>
        <v>0</v>
      </c>
      <c r="P1548" s="36">
        <f t="shared" si="319"/>
        <v>50179.600000000006</v>
      </c>
      <c r="Q1548" s="7">
        <f>Q1549+Q1554+Q1578+Q1569</f>
        <v>0</v>
      </c>
      <c r="R1548" s="36">
        <f t="shared" si="333"/>
        <v>50179.600000000006</v>
      </c>
    </row>
    <row r="1549" spans="1:18" ht="12.75">
      <c r="A1549" s="62" t="str">
        <f ca="1">IF(ISERROR(MATCH(C1549,Код_Раздел,0)),"",INDIRECT(ADDRESS(MATCH(C1549,Код_Раздел,0)+1,2,,,"Раздел")))</f>
        <v>Национальная экономика</v>
      </c>
      <c r="B1549" s="116" t="s">
        <v>379</v>
      </c>
      <c r="C1549" s="8" t="s">
        <v>224</v>
      </c>
      <c r="D1549" s="1"/>
      <c r="E1549" s="115"/>
      <c r="F1549" s="7">
        <f t="shared" si="334"/>
        <v>117199.6</v>
      </c>
      <c r="G1549" s="7">
        <f t="shared" si="334"/>
        <v>-64000</v>
      </c>
      <c r="H1549" s="36">
        <f t="shared" si="335"/>
        <v>53199.600000000006</v>
      </c>
      <c r="I1549" s="7">
        <f t="shared" si="334"/>
        <v>-50171.2</v>
      </c>
      <c r="J1549" s="36">
        <f t="shared" si="336"/>
        <v>3028.4000000000087</v>
      </c>
      <c r="K1549" s="7">
        <f t="shared" si="334"/>
        <v>-3020</v>
      </c>
      <c r="L1549" s="36">
        <f t="shared" si="332"/>
        <v>8.400000000008731</v>
      </c>
      <c r="M1549" s="7">
        <f t="shared" si="334"/>
        <v>0</v>
      </c>
      <c r="N1549" s="36">
        <f t="shared" si="321"/>
        <v>8.400000000008731</v>
      </c>
      <c r="O1549" s="7">
        <f t="shared" si="334"/>
        <v>0</v>
      </c>
      <c r="P1549" s="36">
        <f t="shared" si="319"/>
        <v>8.400000000008731</v>
      </c>
      <c r="Q1549" s="7">
        <f t="shared" si="334"/>
        <v>0</v>
      </c>
      <c r="R1549" s="36">
        <f t="shared" si="333"/>
        <v>8.400000000008731</v>
      </c>
    </row>
    <row r="1550" spans="1:18" ht="12.75">
      <c r="A1550" s="12" t="s">
        <v>231</v>
      </c>
      <c r="B1550" s="116" t="s">
        <v>379</v>
      </c>
      <c r="C1550" s="8" t="s">
        <v>224</v>
      </c>
      <c r="D1550" s="1" t="s">
        <v>204</v>
      </c>
      <c r="E1550" s="115"/>
      <c r="F1550" s="7">
        <f t="shared" si="334"/>
        <v>117199.6</v>
      </c>
      <c r="G1550" s="7">
        <f t="shared" si="334"/>
        <v>-64000</v>
      </c>
      <c r="H1550" s="36">
        <f t="shared" si="335"/>
        <v>53199.600000000006</v>
      </c>
      <c r="I1550" s="7">
        <f t="shared" si="334"/>
        <v>-50171.2</v>
      </c>
      <c r="J1550" s="36">
        <f t="shared" si="336"/>
        <v>3028.4000000000087</v>
      </c>
      <c r="K1550" s="7">
        <f t="shared" si="334"/>
        <v>-3020</v>
      </c>
      <c r="L1550" s="36">
        <f t="shared" si="332"/>
        <v>8.400000000008731</v>
      </c>
      <c r="M1550" s="7">
        <f t="shared" si="334"/>
        <v>0</v>
      </c>
      <c r="N1550" s="36">
        <f t="shared" si="321"/>
        <v>8.400000000008731</v>
      </c>
      <c r="O1550" s="7">
        <f t="shared" si="334"/>
        <v>0</v>
      </c>
      <c r="P1550" s="36">
        <f t="shared" si="319"/>
        <v>8.400000000008731</v>
      </c>
      <c r="Q1550" s="7">
        <f t="shared" si="334"/>
        <v>0</v>
      </c>
      <c r="R1550" s="36">
        <f t="shared" si="333"/>
        <v>8.400000000008731</v>
      </c>
    </row>
    <row r="1551" spans="1:18" ht="12.75">
      <c r="A1551" s="62" t="str">
        <f ca="1">IF(ISERROR(MATCH(E1551,Код_КВР,0)),"",INDIRECT(ADDRESS(MATCH(E1551,Код_КВР,0)+1,2,,,"КВР")))</f>
        <v>Закупка товаров, работ и услуг для муниципальных нужд</v>
      </c>
      <c r="B1551" s="116" t="s">
        <v>379</v>
      </c>
      <c r="C1551" s="8" t="s">
        <v>224</v>
      </c>
      <c r="D1551" s="1" t="s">
        <v>204</v>
      </c>
      <c r="E1551" s="115">
        <v>200</v>
      </c>
      <c r="F1551" s="7">
        <f t="shared" si="334"/>
        <v>117199.6</v>
      </c>
      <c r="G1551" s="7">
        <f t="shared" si="334"/>
        <v>-64000</v>
      </c>
      <c r="H1551" s="36">
        <f t="shared" si="335"/>
        <v>53199.600000000006</v>
      </c>
      <c r="I1551" s="7">
        <f t="shared" si="334"/>
        <v>-50171.2</v>
      </c>
      <c r="J1551" s="36">
        <f t="shared" si="336"/>
        <v>3028.4000000000087</v>
      </c>
      <c r="K1551" s="7">
        <f t="shared" si="334"/>
        <v>-3020</v>
      </c>
      <c r="L1551" s="36">
        <f t="shared" si="332"/>
        <v>8.400000000008731</v>
      </c>
      <c r="M1551" s="7">
        <f t="shared" si="334"/>
        <v>0</v>
      </c>
      <c r="N1551" s="36">
        <f t="shared" si="321"/>
        <v>8.400000000008731</v>
      </c>
      <c r="O1551" s="7">
        <f t="shared" si="334"/>
        <v>0</v>
      </c>
      <c r="P1551" s="36">
        <f t="shared" si="319"/>
        <v>8.400000000008731</v>
      </c>
      <c r="Q1551" s="7">
        <f t="shared" si="334"/>
        <v>0</v>
      </c>
      <c r="R1551" s="36">
        <f t="shared" si="333"/>
        <v>8.400000000008731</v>
      </c>
    </row>
    <row r="1552" spans="1:18" ht="33">
      <c r="A1552" s="62" t="str">
        <f ca="1">IF(ISERROR(MATCH(E1552,Код_КВР,0)),"",INDIRECT(ADDRESS(MATCH(E1552,Код_КВР,0)+1,2,,,"КВР")))</f>
        <v>Иные закупки товаров, работ и услуг для обеспечения муниципальных нужд</v>
      </c>
      <c r="B1552" s="116" t="s">
        <v>379</v>
      </c>
      <c r="C1552" s="8" t="s">
        <v>224</v>
      </c>
      <c r="D1552" s="1" t="s">
        <v>204</v>
      </c>
      <c r="E1552" s="115">
        <v>240</v>
      </c>
      <c r="F1552" s="7">
        <f t="shared" si="334"/>
        <v>117199.6</v>
      </c>
      <c r="G1552" s="7">
        <f t="shared" si="334"/>
        <v>-64000</v>
      </c>
      <c r="H1552" s="36">
        <f t="shared" si="335"/>
        <v>53199.600000000006</v>
      </c>
      <c r="I1552" s="7">
        <f t="shared" si="334"/>
        <v>-50171.2</v>
      </c>
      <c r="J1552" s="36">
        <f t="shared" si="336"/>
        <v>3028.4000000000087</v>
      </c>
      <c r="K1552" s="7">
        <f t="shared" si="334"/>
        <v>-3020</v>
      </c>
      <c r="L1552" s="36">
        <f t="shared" si="332"/>
        <v>8.400000000008731</v>
      </c>
      <c r="M1552" s="7">
        <f t="shared" si="334"/>
        <v>0</v>
      </c>
      <c r="N1552" s="36">
        <f t="shared" si="321"/>
        <v>8.400000000008731</v>
      </c>
      <c r="O1552" s="7">
        <f t="shared" si="334"/>
        <v>0</v>
      </c>
      <c r="P1552" s="36">
        <f aca="true" t="shared" si="337" ref="P1552:P1615">N1552+O1552</f>
        <v>8.400000000008731</v>
      </c>
      <c r="Q1552" s="7">
        <f t="shared" si="334"/>
        <v>0</v>
      </c>
      <c r="R1552" s="36">
        <f t="shared" si="333"/>
        <v>8.400000000008731</v>
      </c>
    </row>
    <row r="1553" spans="1:18" ht="33">
      <c r="A1553" s="62" t="str">
        <f ca="1">IF(ISERROR(MATCH(E1553,Код_КВР,0)),"",INDIRECT(ADDRESS(MATCH(E1553,Код_КВР,0)+1,2,,,"КВР")))</f>
        <v xml:space="preserve">Прочая закупка товаров, работ и услуг для обеспечения муниципальных нужд         </v>
      </c>
      <c r="B1553" s="116" t="s">
        <v>379</v>
      </c>
      <c r="C1553" s="8" t="s">
        <v>224</v>
      </c>
      <c r="D1553" s="1" t="s">
        <v>204</v>
      </c>
      <c r="E1553" s="115">
        <v>244</v>
      </c>
      <c r="F1553" s="7">
        <f>'прил.5'!G883</f>
        <v>117199.6</v>
      </c>
      <c r="G1553" s="7">
        <f>'прил.5'!H883</f>
        <v>-64000</v>
      </c>
      <c r="H1553" s="36">
        <f t="shared" si="335"/>
        <v>53199.600000000006</v>
      </c>
      <c r="I1553" s="7">
        <f>'прил.5'!J883</f>
        <v>-50171.2</v>
      </c>
      <c r="J1553" s="36">
        <f t="shared" si="336"/>
        <v>3028.4000000000087</v>
      </c>
      <c r="K1553" s="7">
        <f>'прил.5'!L883</f>
        <v>-3020</v>
      </c>
      <c r="L1553" s="36">
        <f t="shared" si="332"/>
        <v>8.400000000008731</v>
      </c>
      <c r="M1553" s="7">
        <f>'прил.5'!N883</f>
        <v>0</v>
      </c>
      <c r="N1553" s="36">
        <f t="shared" si="321"/>
        <v>8.400000000008731</v>
      </c>
      <c r="O1553" s="7">
        <f>'прил.5'!P883</f>
        <v>0</v>
      </c>
      <c r="P1553" s="36">
        <f t="shared" si="337"/>
        <v>8.400000000008731</v>
      </c>
      <c r="Q1553" s="7">
        <f>'прил.5'!R883</f>
        <v>0</v>
      </c>
      <c r="R1553" s="36">
        <f t="shared" si="333"/>
        <v>8.400000000008731</v>
      </c>
    </row>
    <row r="1554" spans="1:18" ht="12.75">
      <c r="A1554" s="62" t="str">
        <f ca="1">IF(ISERROR(MATCH(C1554,Код_Раздел,0)),"",INDIRECT(ADDRESS(MATCH(C1554,Код_Раздел,0)+1,2,,,"Раздел")))</f>
        <v>Образование</v>
      </c>
      <c r="B1554" s="116" t="s">
        <v>379</v>
      </c>
      <c r="C1554" s="8" t="s">
        <v>203</v>
      </c>
      <c r="D1554" s="1"/>
      <c r="E1554" s="115"/>
      <c r="F1554" s="7"/>
      <c r="G1554" s="7"/>
      <c r="H1554" s="36"/>
      <c r="I1554" s="7">
        <f>I1555+I1561+I1565</f>
        <v>45688.299999999996</v>
      </c>
      <c r="J1554" s="36">
        <f t="shared" si="336"/>
        <v>45688.299999999996</v>
      </c>
      <c r="K1554" s="7">
        <f>K1555+K1561+K1565</f>
        <v>0</v>
      </c>
      <c r="L1554" s="36">
        <f t="shared" si="332"/>
        <v>45688.299999999996</v>
      </c>
      <c r="M1554" s="7">
        <f>M1555+M1561+M1565</f>
        <v>0</v>
      </c>
      <c r="N1554" s="36">
        <f t="shared" si="321"/>
        <v>45688.299999999996</v>
      </c>
      <c r="O1554" s="7">
        <f>O1555+O1561+O1565</f>
        <v>0</v>
      </c>
      <c r="P1554" s="36">
        <f t="shared" si="337"/>
        <v>45688.299999999996</v>
      </c>
      <c r="Q1554" s="7">
        <f>Q1555+Q1561+Q1565</f>
        <v>0</v>
      </c>
      <c r="R1554" s="36">
        <f t="shared" si="333"/>
        <v>45688.299999999996</v>
      </c>
    </row>
    <row r="1555" spans="1:18" ht="12.75">
      <c r="A1555" s="12" t="s">
        <v>266</v>
      </c>
      <c r="B1555" s="116" t="s">
        <v>379</v>
      </c>
      <c r="C1555" s="8" t="s">
        <v>203</v>
      </c>
      <c r="D1555" s="1" t="s">
        <v>221</v>
      </c>
      <c r="E1555" s="115"/>
      <c r="F1555" s="7"/>
      <c r="G1555" s="7"/>
      <c r="H1555" s="36"/>
      <c r="I1555" s="7">
        <f>I1556</f>
        <v>44229.299999999996</v>
      </c>
      <c r="J1555" s="36">
        <f t="shared" si="336"/>
        <v>44229.299999999996</v>
      </c>
      <c r="K1555" s="7">
        <f>K1556</f>
        <v>0</v>
      </c>
      <c r="L1555" s="36">
        <f t="shared" si="332"/>
        <v>44229.299999999996</v>
      </c>
      <c r="M1555" s="7">
        <f>M1556</f>
        <v>0</v>
      </c>
      <c r="N1555" s="36">
        <f t="shared" si="321"/>
        <v>44229.299999999996</v>
      </c>
      <c r="O1555" s="7">
        <f>O1556</f>
        <v>0</v>
      </c>
      <c r="P1555" s="36">
        <f t="shared" si="337"/>
        <v>44229.299999999996</v>
      </c>
      <c r="Q1555" s="7">
        <f>Q1556</f>
        <v>0</v>
      </c>
      <c r="R1555" s="36">
        <f t="shared" si="333"/>
        <v>44229.299999999996</v>
      </c>
    </row>
    <row r="1556" spans="1:18" ht="37.5" customHeight="1">
      <c r="A1556" s="62" t="str">
        <f ca="1">IF(ISERROR(MATCH(E1556,Код_КВР,0)),"",INDIRECT(ADDRESS(MATCH(E1556,Код_КВР,0)+1,2,,,"КВР")))</f>
        <v>Предоставление субсидий бюджетным, автономным учреждениям и иным некоммерческим организациям</v>
      </c>
      <c r="B1556" s="115" t="s">
        <v>379</v>
      </c>
      <c r="C1556" s="8" t="s">
        <v>203</v>
      </c>
      <c r="D1556" s="1" t="s">
        <v>221</v>
      </c>
      <c r="E1556" s="115">
        <v>600</v>
      </c>
      <c r="F1556" s="7"/>
      <c r="G1556" s="7"/>
      <c r="H1556" s="36"/>
      <c r="I1556" s="7">
        <f>I1557+I1559</f>
        <v>44229.299999999996</v>
      </c>
      <c r="J1556" s="36">
        <f t="shared" si="336"/>
        <v>44229.299999999996</v>
      </c>
      <c r="K1556" s="7">
        <f>K1557+K1559</f>
        <v>0</v>
      </c>
      <c r="L1556" s="36">
        <f t="shared" si="332"/>
        <v>44229.299999999996</v>
      </c>
      <c r="M1556" s="7">
        <f>M1557+M1559</f>
        <v>0</v>
      </c>
      <c r="N1556" s="36">
        <f t="shared" si="321"/>
        <v>44229.299999999996</v>
      </c>
      <c r="O1556" s="7">
        <f>O1557+O1559</f>
        <v>0</v>
      </c>
      <c r="P1556" s="36">
        <f t="shared" si="337"/>
        <v>44229.299999999996</v>
      </c>
      <c r="Q1556" s="7">
        <f>Q1557+Q1559</f>
        <v>0</v>
      </c>
      <c r="R1556" s="36">
        <f t="shared" si="333"/>
        <v>44229.299999999996</v>
      </c>
    </row>
    <row r="1557" spans="1:18" ht="22.5" customHeight="1">
      <c r="A1557" s="62" t="str">
        <f ca="1">IF(ISERROR(MATCH(E1557,Код_КВР,0)),"",INDIRECT(ADDRESS(MATCH(E1557,Код_КВР,0)+1,2,,,"КВР")))</f>
        <v>Субсидии бюджетным учреждениям</v>
      </c>
      <c r="B1557" s="115" t="s">
        <v>379</v>
      </c>
      <c r="C1557" s="8" t="s">
        <v>203</v>
      </c>
      <c r="D1557" s="1" t="s">
        <v>221</v>
      </c>
      <c r="E1557" s="115">
        <v>610</v>
      </c>
      <c r="F1557" s="7"/>
      <c r="G1557" s="7"/>
      <c r="H1557" s="36"/>
      <c r="I1557" s="7">
        <f>I1558</f>
        <v>42345.1</v>
      </c>
      <c r="J1557" s="36">
        <f t="shared" si="336"/>
        <v>42345.1</v>
      </c>
      <c r="K1557" s="7">
        <f>K1558</f>
        <v>0</v>
      </c>
      <c r="L1557" s="36">
        <f t="shared" si="332"/>
        <v>42345.1</v>
      </c>
      <c r="M1557" s="7">
        <f>M1558</f>
        <v>0</v>
      </c>
      <c r="N1557" s="36">
        <f t="shared" si="321"/>
        <v>42345.1</v>
      </c>
      <c r="O1557" s="7">
        <f>O1558</f>
        <v>0</v>
      </c>
      <c r="P1557" s="36">
        <f t="shared" si="337"/>
        <v>42345.1</v>
      </c>
      <c r="Q1557" s="7">
        <f>Q1558</f>
        <v>0</v>
      </c>
      <c r="R1557" s="36">
        <f t="shared" si="333"/>
        <v>42345.1</v>
      </c>
    </row>
    <row r="1558" spans="1:18" ht="23.25" customHeight="1">
      <c r="A1558" s="62" t="str">
        <f ca="1">IF(ISERROR(MATCH(E1558,Код_КВР,0)),"",INDIRECT(ADDRESS(MATCH(E1558,Код_КВР,0)+1,2,,,"КВР")))</f>
        <v>Субсидии бюджетным учреждениям на иные цели</v>
      </c>
      <c r="B1558" s="115" t="s">
        <v>379</v>
      </c>
      <c r="C1558" s="8" t="s">
        <v>203</v>
      </c>
      <c r="D1558" s="1" t="s">
        <v>221</v>
      </c>
      <c r="E1558" s="115">
        <v>612</v>
      </c>
      <c r="F1558" s="7"/>
      <c r="G1558" s="7"/>
      <c r="H1558" s="36"/>
      <c r="I1558" s="7">
        <f>'прил.5'!J616</f>
        <v>42345.1</v>
      </c>
      <c r="J1558" s="36">
        <f t="shared" si="336"/>
        <v>42345.1</v>
      </c>
      <c r="K1558" s="7">
        <f>'прил.5'!L616</f>
        <v>0</v>
      </c>
      <c r="L1558" s="36">
        <f t="shared" si="332"/>
        <v>42345.1</v>
      </c>
      <c r="M1558" s="7">
        <f>'прил.5'!N616</f>
        <v>0</v>
      </c>
      <c r="N1558" s="36">
        <f t="shared" si="321"/>
        <v>42345.1</v>
      </c>
      <c r="O1558" s="7">
        <f>'прил.5'!P616</f>
        <v>0</v>
      </c>
      <c r="P1558" s="36">
        <f t="shared" si="337"/>
        <v>42345.1</v>
      </c>
      <c r="Q1558" s="7">
        <f>'прил.5'!R616</f>
        <v>0</v>
      </c>
      <c r="R1558" s="36">
        <f t="shared" si="333"/>
        <v>42345.1</v>
      </c>
    </row>
    <row r="1559" spans="1:18" ht="20.25" customHeight="1">
      <c r="A1559" s="62" t="str">
        <f ca="1">IF(ISERROR(MATCH(E1559,Код_КВР,0)),"",INDIRECT(ADDRESS(MATCH(E1559,Код_КВР,0)+1,2,,,"КВР")))</f>
        <v>Субсидии автономным учреждениям</v>
      </c>
      <c r="B1559" s="115" t="s">
        <v>379</v>
      </c>
      <c r="C1559" s="8" t="s">
        <v>203</v>
      </c>
      <c r="D1559" s="1" t="s">
        <v>221</v>
      </c>
      <c r="E1559" s="115">
        <v>620</v>
      </c>
      <c r="F1559" s="7"/>
      <c r="G1559" s="7"/>
      <c r="H1559" s="36"/>
      <c r="I1559" s="7">
        <f>I1560</f>
        <v>1884.2</v>
      </c>
      <c r="J1559" s="36">
        <f t="shared" si="336"/>
        <v>1884.2</v>
      </c>
      <c r="K1559" s="7">
        <f>K1560</f>
        <v>0</v>
      </c>
      <c r="L1559" s="36">
        <f t="shared" si="332"/>
        <v>1884.2</v>
      </c>
      <c r="M1559" s="7">
        <f>M1560</f>
        <v>0</v>
      </c>
      <c r="N1559" s="36">
        <f t="shared" si="321"/>
        <v>1884.2</v>
      </c>
      <c r="O1559" s="7">
        <f>O1560</f>
        <v>0</v>
      </c>
      <c r="P1559" s="36">
        <f t="shared" si="337"/>
        <v>1884.2</v>
      </c>
      <c r="Q1559" s="7">
        <f>Q1560</f>
        <v>0</v>
      </c>
      <c r="R1559" s="36">
        <f t="shared" si="333"/>
        <v>1884.2</v>
      </c>
    </row>
    <row r="1560" spans="1:18" ht="16.7" customHeight="1">
      <c r="A1560" s="62" t="str">
        <f ca="1">IF(ISERROR(MATCH(E1560,Код_КВР,0)),"",INDIRECT(ADDRESS(MATCH(E1560,Код_КВР,0)+1,2,,,"КВР")))</f>
        <v>Субсидии автономным учреждениям на иные цели</v>
      </c>
      <c r="B1560" s="115" t="s">
        <v>379</v>
      </c>
      <c r="C1560" s="8" t="s">
        <v>203</v>
      </c>
      <c r="D1560" s="1" t="s">
        <v>221</v>
      </c>
      <c r="E1560" s="115">
        <v>622</v>
      </c>
      <c r="F1560" s="7"/>
      <c r="G1560" s="7"/>
      <c r="H1560" s="36"/>
      <c r="I1560" s="7">
        <f>'прил.5'!J618</f>
        <v>1884.2</v>
      </c>
      <c r="J1560" s="36">
        <f t="shared" si="336"/>
        <v>1884.2</v>
      </c>
      <c r="K1560" s="7">
        <f>'прил.5'!L618</f>
        <v>0</v>
      </c>
      <c r="L1560" s="36">
        <f t="shared" si="332"/>
        <v>1884.2</v>
      </c>
      <c r="M1560" s="7">
        <f>'прил.5'!N618</f>
        <v>0</v>
      </c>
      <c r="N1560" s="36">
        <f t="shared" si="321"/>
        <v>1884.2</v>
      </c>
      <c r="O1560" s="7">
        <f>'прил.5'!P618</f>
        <v>0</v>
      </c>
      <c r="P1560" s="36">
        <f t="shared" si="337"/>
        <v>1884.2</v>
      </c>
      <c r="Q1560" s="7">
        <f>'прил.5'!R618</f>
        <v>0</v>
      </c>
      <c r="R1560" s="36">
        <f t="shared" si="333"/>
        <v>1884.2</v>
      </c>
    </row>
    <row r="1561" spans="1:18" ht="16.7" customHeight="1">
      <c r="A1561" s="12" t="s">
        <v>207</v>
      </c>
      <c r="B1561" s="116" t="s">
        <v>379</v>
      </c>
      <c r="C1561" s="8" t="s">
        <v>203</v>
      </c>
      <c r="D1561" s="1" t="s">
        <v>203</v>
      </c>
      <c r="E1561" s="115"/>
      <c r="F1561" s="7"/>
      <c r="G1561" s="7"/>
      <c r="H1561" s="36"/>
      <c r="I1561" s="7">
        <f>I1562</f>
        <v>0.7</v>
      </c>
      <c r="J1561" s="36">
        <f t="shared" si="336"/>
        <v>0.7</v>
      </c>
      <c r="K1561" s="7">
        <f>K1562</f>
        <v>0</v>
      </c>
      <c r="L1561" s="36">
        <f t="shared" si="332"/>
        <v>0.7</v>
      </c>
      <c r="M1561" s="7">
        <f>M1562</f>
        <v>0</v>
      </c>
      <c r="N1561" s="36">
        <f t="shared" si="321"/>
        <v>0.7</v>
      </c>
      <c r="O1561" s="7">
        <f>O1562</f>
        <v>0</v>
      </c>
      <c r="P1561" s="36">
        <f t="shared" si="337"/>
        <v>0.7</v>
      </c>
      <c r="Q1561" s="7">
        <f>Q1562</f>
        <v>0</v>
      </c>
      <c r="R1561" s="36">
        <f t="shared" si="333"/>
        <v>0.7</v>
      </c>
    </row>
    <row r="1562" spans="1:18" ht="16.7" customHeight="1">
      <c r="A1562" s="62" t="str">
        <f ca="1">IF(ISERROR(MATCH(E1562,Код_КВР,0)),"",INDIRECT(ADDRESS(MATCH(E1562,Код_КВР,0)+1,2,,,"КВР")))</f>
        <v>Предоставление субсидий бюджетным, автономным учреждениям и иным некоммерческим организациям</v>
      </c>
      <c r="B1562" s="115" t="s">
        <v>379</v>
      </c>
      <c r="C1562" s="8" t="s">
        <v>203</v>
      </c>
      <c r="D1562" s="1" t="s">
        <v>203</v>
      </c>
      <c r="E1562" s="115">
        <v>600</v>
      </c>
      <c r="F1562" s="7"/>
      <c r="G1562" s="7"/>
      <c r="H1562" s="36"/>
      <c r="I1562" s="7">
        <f>I1563</f>
        <v>0.7</v>
      </c>
      <c r="J1562" s="36">
        <f t="shared" si="336"/>
        <v>0.7</v>
      </c>
      <c r="K1562" s="7">
        <f>K1563</f>
        <v>0</v>
      </c>
      <c r="L1562" s="36">
        <f t="shared" si="332"/>
        <v>0.7</v>
      </c>
      <c r="M1562" s="7">
        <f>M1563</f>
        <v>0</v>
      </c>
      <c r="N1562" s="36">
        <f t="shared" si="321"/>
        <v>0.7</v>
      </c>
      <c r="O1562" s="7">
        <f>O1563</f>
        <v>0</v>
      </c>
      <c r="P1562" s="36">
        <f t="shared" si="337"/>
        <v>0.7</v>
      </c>
      <c r="Q1562" s="7">
        <f>Q1563</f>
        <v>0</v>
      </c>
      <c r="R1562" s="36">
        <f t="shared" si="333"/>
        <v>0.7</v>
      </c>
    </row>
    <row r="1563" spans="1:18" ht="16.7" customHeight="1">
      <c r="A1563" s="62" t="str">
        <f ca="1">IF(ISERROR(MATCH(E1563,Код_КВР,0)),"",INDIRECT(ADDRESS(MATCH(E1563,Код_КВР,0)+1,2,,,"КВР")))</f>
        <v>Субсидии бюджетным учреждениям</v>
      </c>
      <c r="B1563" s="115" t="s">
        <v>379</v>
      </c>
      <c r="C1563" s="8" t="s">
        <v>203</v>
      </c>
      <c r="D1563" s="1" t="s">
        <v>203</v>
      </c>
      <c r="E1563" s="115">
        <v>610</v>
      </c>
      <c r="F1563" s="7"/>
      <c r="G1563" s="7"/>
      <c r="H1563" s="36"/>
      <c r="I1563" s="7">
        <f>I1564</f>
        <v>0.7</v>
      </c>
      <c r="J1563" s="36">
        <f t="shared" si="336"/>
        <v>0.7</v>
      </c>
      <c r="K1563" s="7">
        <f>K1564</f>
        <v>0</v>
      </c>
      <c r="L1563" s="36">
        <f t="shared" si="332"/>
        <v>0.7</v>
      </c>
      <c r="M1563" s="7">
        <f>M1564</f>
        <v>0</v>
      </c>
      <c r="N1563" s="36">
        <f t="shared" si="321"/>
        <v>0.7</v>
      </c>
      <c r="O1563" s="7">
        <f>O1564</f>
        <v>0</v>
      </c>
      <c r="P1563" s="36">
        <f t="shared" si="337"/>
        <v>0.7</v>
      </c>
      <c r="Q1563" s="7">
        <f>Q1564</f>
        <v>0</v>
      </c>
      <c r="R1563" s="36">
        <f t="shared" si="333"/>
        <v>0.7</v>
      </c>
    </row>
    <row r="1564" spans="1:18" ht="16.7" customHeight="1">
      <c r="A1564" s="62" t="str">
        <f ca="1">IF(ISERROR(MATCH(E1564,Код_КВР,0)),"",INDIRECT(ADDRESS(MATCH(E1564,Код_КВР,0)+1,2,,,"КВР")))</f>
        <v>Субсидии бюджетным учреждениям на иные цели</v>
      </c>
      <c r="B1564" s="115" t="s">
        <v>379</v>
      </c>
      <c r="C1564" s="8" t="s">
        <v>203</v>
      </c>
      <c r="D1564" s="1" t="s">
        <v>203</v>
      </c>
      <c r="E1564" s="115">
        <v>612</v>
      </c>
      <c r="F1564" s="7"/>
      <c r="G1564" s="7"/>
      <c r="H1564" s="36"/>
      <c r="I1564" s="7">
        <f>'прил.5'!J325</f>
        <v>0.7</v>
      </c>
      <c r="J1564" s="36">
        <f t="shared" si="336"/>
        <v>0.7</v>
      </c>
      <c r="K1564" s="7">
        <f>'прил.5'!L325</f>
        <v>0</v>
      </c>
      <c r="L1564" s="36">
        <f t="shared" si="332"/>
        <v>0.7</v>
      </c>
      <c r="M1564" s="7">
        <f>'прил.5'!N325</f>
        <v>0</v>
      </c>
      <c r="N1564" s="36">
        <f t="shared" si="321"/>
        <v>0.7</v>
      </c>
      <c r="O1564" s="7">
        <f>'прил.5'!P325</f>
        <v>0</v>
      </c>
      <c r="P1564" s="36">
        <f t="shared" si="337"/>
        <v>0.7</v>
      </c>
      <c r="Q1564" s="7">
        <f>'прил.5'!R325</f>
        <v>0</v>
      </c>
      <c r="R1564" s="36">
        <f t="shared" si="333"/>
        <v>0.7</v>
      </c>
    </row>
    <row r="1565" spans="1:18" ht="12.75">
      <c r="A1565" s="12" t="s">
        <v>259</v>
      </c>
      <c r="B1565" s="116" t="s">
        <v>379</v>
      </c>
      <c r="C1565" s="8" t="s">
        <v>203</v>
      </c>
      <c r="D1565" s="1" t="s">
        <v>227</v>
      </c>
      <c r="E1565" s="115"/>
      <c r="F1565" s="7"/>
      <c r="G1565" s="7"/>
      <c r="H1565" s="36"/>
      <c r="I1565" s="7">
        <f>I1566</f>
        <v>1458.3</v>
      </c>
      <c r="J1565" s="36">
        <f t="shared" si="336"/>
        <v>1458.3</v>
      </c>
      <c r="K1565" s="7">
        <f>K1566</f>
        <v>0</v>
      </c>
      <c r="L1565" s="36">
        <f t="shared" si="332"/>
        <v>1458.3</v>
      </c>
      <c r="M1565" s="7">
        <f>M1566</f>
        <v>0</v>
      </c>
      <c r="N1565" s="36">
        <f t="shared" si="321"/>
        <v>1458.3</v>
      </c>
      <c r="O1565" s="7">
        <f>O1566</f>
        <v>0</v>
      </c>
      <c r="P1565" s="36">
        <f t="shared" si="337"/>
        <v>1458.3</v>
      </c>
      <c r="Q1565" s="7">
        <f>Q1566</f>
        <v>0</v>
      </c>
      <c r="R1565" s="36">
        <f t="shared" si="333"/>
        <v>1458.3</v>
      </c>
    </row>
    <row r="1566" spans="1:18" ht="33">
      <c r="A1566" s="62" t="str">
        <f ca="1">IF(ISERROR(MATCH(E1566,Код_КВР,0)),"",INDIRECT(ADDRESS(MATCH(E1566,Код_КВР,0)+1,2,,,"КВР")))</f>
        <v>Предоставление субсидий бюджетным, автономным учреждениям и иным некоммерческим организациям</v>
      </c>
      <c r="B1566" s="115" t="s">
        <v>379</v>
      </c>
      <c r="C1566" s="8" t="s">
        <v>203</v>
      </c>
      <c r="D1566" s="1" t="s">
        <v>227</v>
      </c>
      <c r="E1566" s="115">
        <v>600</v>
      </c>
      <c r="F1566" s="7"/>
      <c r="G1566" s="7"/>
      <c r="H1566" s="36"/>
      <c r="I1566" s="7">
        <f>I1567</f>
        <v>1458.3</v>
      </c>
      <c r="J1566" s="36">
        <f t="shared" si="336"/>
        <v>1458.3</v>
      </c>
      <c r="K1566" s="7">
        <f>K1567</f>
        <v>0</v>
      </c>
      <c r="L1566" s="36">
        <f t="shared" si="332"/>
        <v>1458.3</v>
      </c>
      <c r="M1566" s="7">
        <f>M1567</f>
        <v>0</v>
      </c>
      <c r="N1566" s="36">
        <f t="shared" si="321"/>
        <v>1458.3</v>
      </c>
      <c r="O1566" s="7">
        <f>O1567</f>
        <v>0</v>
      </c>
      <c r="P1566" s="36">
        <f t="shared" si="337"/>
        <v>1458.3</v>
      </c>
      <c r="Q1566" s="7">
        <f>Q1567</f>
        <v>0</v>
      </c>
      <c r="R1566" s="36">
        <f t="shared" si="333"/>
        <v>1458.3</v>
      </c>
    </row>
    <row r="1567" spans="1:18" ht="12.75">
      <c r="A1567" s="62" t="str">
        <f ca="1">IF(ISERROR(MATCH(E1567,Код_КВР,0)),"",INDIRECT(ADDRESS(MATCH(E1567,Код_КВР,0)+1,2,,,"КВР")))</f>
        <v>Субсидии бюджетным учреждениям</v>
      </c>
      <c r="B1567" s="115" t="s">
        <v>379</v>
      </c>
      <c r="C1567" s="8" t="s">
        <v>203</v>
      </c>
      <c r="D1567" s="1" t="s">
        <v>227</v>
      </c>
      <c r="E1567" s="115">
        <v>610</v>
      </c>
      <c r="F1567" s="7"/>
      <c r="G1567" s="7"/>
      <c r="H1567" s="36"/>
      <c r="I1567" s="7">
        <f>I1568</f>
        <v>1458.3</v>
      </c>
      <c r="J1567" s="36">
        <f t="shared" si="336"/>
        <v>1458.3</v>
      </c>
      <c r="K1567" s="7">
        <f>K1568</f>
        <v>0</v>
      </c>
      <c r="L1567" s="36">
        <f t="shared" si="332"/>
        <v>1458.3</v>
      </c>
      <c r="M1567" s="7">
        <f>M1568</f>
        <v>0</v>
      </c>
      <c r="N1567" s="36">
        <f t="shared" si="321"/>
        <v>1458.3</v>
      </c>
      <c r="O1567" s="7">
        <f>O1568</f>
        <v>0</v>
      </c>
      <c r="P1567" s="36">
        <f t="shared" si="337"/>
        <v>1458.3</v>
      </c>
      <c r="Q1567" s="7">
        <f>Q1568</f>
        <v>0</v>
      </c>
      <c r="R1567" s="36">
        <f t="shared" si="333"/>
        <v>1458.3</v>
      </c>
    </row>
    <row r="1568" spans="1:18" ht="12.75">
      <c r="A1568" s="62" t="str">
        <f ca="1">IF(ISERROR(MATCH(E1568,Код_КВР,0)),"",INDIRECT(ADDRESS(MATCH(E1568,Код_КВР,0)+1,2,,,"КВР")))</f>
        <v>Субсидии бюджетным учреждениям на иные цели</v>
      </c>
      <c r="B1568" s="115" t="s">
        <v>379</v>
      </c>
      <c r="C1568" s="8" t="s">
        <v>203</v>
      </c>
      <c r="D1568" s="1" t="s">
        <v>227</v>
      </c>
      <c r="E1568" s="115">
        <v>612</v>
      </c>
      <c r="F1568" s="7"/>
      <c r="G1568" s="7"/>
      <c r="H1568" s="36"/>
      <c r="I1568" s="7">
        <f>'прил.5'!J798</f>
        <v>1458.3</v>
      </c>
      <c r="J1568" s="36">
        <f t="shared" si="336"/>
        <v>1458.3</v>
      </c>
      <c r="K1568" s="7">
        <f>'прил.5'!L798</f>
        <v>0</v>
      </c>
      <c r="L1568" s="36">
        <f t="shared" si="332"/>
        <v>1458.3</v>
      </c>
      <c r="M1568" s="7">
        <f>'прил.5'!N798</f>
        <v>0</v>
      </c>
      <c r="N1568" s="36">
        <f t="shared" si="321"/>
        <v>1458.3</v>
      </c>
      <c r="O1568" s="7">
        <f>'прил.5'!P798</f>
        <v>0</v>
      </c>
      <c r="P1568" s="36">
        <f t="shared" si="337"/>
        <v>1458.3</v>
      </c>
      <c r="Q1568" s="7">
        <f>'прил.5'!R798</f>
        <v>0</v>
      </c>
      <c r="R1568" s="36">
        <f t="shared" si="333"/>
        <v>1458.3</v>
      </c>
    </row>
    <row r="1569" spans="1:18" ht="12.75">
      <c r="A1569" s="62" t="str">
        <f ca="1">IF(ISERROR(MATCH(C1569,Код_Раздел,0)),"",INDIRECT(ADDRESS(MATCH(C1569,Код_Раздел,0)+1,2,,,"Раздел")))</f>
        <v>Культура, кинематография</v>
      </c>
      <c r="B1569" s="116" t="s">
        <v>379</v>
      </c>
      <c r="C1569" s="8" t="s">
        <v>230</v>
      </c>
      <c r="D1569" s="1"/>
      <c r="E1569" s="115"/>
      <c r="F1569" s="7"/>
      <c r="G1569" s="7"/>
      <c r="H1569" s="36"/>
      <c r="I1569" s="7">
        <f>I1570+I1574</f>
        <v>69</v>
      </c>
      <c r="J1569" s="36">
        <f aca="true" t="shared" si="338" ref="J1569:J1577">H1569+I1569</f>
        <v>69</v>
      </c>
      <c r="K1569" s="7">
        <f>K1570+K1574</f>
        <v>0</v>
      </c>
      <c r="L1569" s="36">
        <f t="shared" si="332"/>
        <v>69</v>
      </c>
      <c r="M1569" s="7">
        <f>M1570+M1574</f>
        <v>0</v>
      </c>
      <c r="N1569" s="36">
        <f t="shared" si="321"/>
        <v>69</v>
      </c>
      <c r="O1569" s="7">
        <f>O1570+O1574</f>
        <v>0</v>
      </c>
      <c r="P1569" s="36">
        <f t="shared" si="337"/>
        <v>69</v>
      </c>
      <c r="Q1569" s="7">
        <f>Q1570+Q1574</f>
        <v>0</v>
      </c>
      <c r="R1569" s="36">
        <f t="shared" si="333"/>
        <v>69</v>
      </c>
    </row>
    <row r="1570" spans="1:18" ht="12.75">
      <c r="A1570" s="12" t="s">
        <v>192</v>
      </c>
      <c r="B1570" s="116" t="s">
        <v>379</v>
      </c>
      <c r="C1570" s="8" t="s">
        <v>230</v>
      </c>
      <c r="D1570" s="1" t="s">
        <v>221</v>
      </c>
      <c r="E1570" s="115"/>
      <c r="F1570" s="7"/>
      <c r="G1570" s="7"/>
      <c r="H1570" s="36"/>
      <c r="I1570" s="7">
        <f>I1571</f>
        <v>33</v>
      </c>
      <c r="J1570" s="36">
        <f t="shared" si="338"/>
        <v>33</v>
      </c>
      <c r="K1570" s="7">
        <f>K1571</f>
        <v>0</v>
      </c>
      <c r="L1570" s="36">
        <f t="shared" si="332"/>
        <v>33</v>
      </c>
      <c r="M1570" s="7">
        <f>M1571</f>
        <v>0</v>
      </c>
      <c r="N1570" s="36">
        <f t="shared" si="321"/>
        <v>33</v>
      </c>
      <c r="O1570" s="7">
        <f>O1571</f>
        <v>0</v>
      </c>
      <c r="P1570" s="36">
        <f t="shared" si="337"/>
        <v>33</v>
      </c>
      <c r="Q1570" s="7">
        <f>Q1571</f>
        <v>0</v>
      </c>
      <c r="R1570" s="36">
        <f t="shared" si="333"/>
        <v>33</v>
      </c>
    </row>
    <row r="1571" spans="1:18" ht="33">
      <c r="A1571" s="62" t="str">
        <f ca="1">IF(ISERROR(MATCH(E1571,Код_КВР,0)),"",INDIRECT(ADDRESS(MATCH(E1571,Код_КВР,0)+1,2,,,"КВР")))</f>
        <v>Предоставление субсидий бюджетным, автономным учреждениям и иным некоммерческим организациям</v>
      </c>
      <c r="B1571" s="115" t="s">
        <v>379</v>
      </c>
      <c r="C1571" s="8" t="s">
        <v>230</v>
      </c>
      <c r="D1571" s="1" t="s">
        <v>221</v>
      </c>
      <c r="E1571" s="115">
        <v>600</v>
      </c>
      <c r="F1571" s="7"/>
      <c r="G1571" s="7"/>
      <c r="H1571" s="36"/>
      <c r="I1571" s="7">
        <f>I1572</f>
        <v>33</v>
      </c>
      <c r="J1571" s="36">
        <f t="shared" si="338"/>
        <v>33</v>
      </c>
      <c r="K1571" s="7">
        <f>K1572</f>
        <v>0</v>
      </c>
      <c r="L1571" s="36">
        <f t="shared" si="332"/>
        <v>33</v>
      </c>
      <c r="M1571" s="7">
        <f>M1572</f>
        <v>0</v>
      </c>
      <c r="N1571" s="36">
        <f t="shared" si="321"/>
        <v>33</v>
      </c>
      <c r="O1571" s="7">
        <f>O1572</f>
        <v>0</v>
      </c>
      <c r="P1571" s="36">
        <f t="shared" si="337"/>
        <v>33</v>
      </c>
      <c r="Q1571" s="7">
        <f>Q1572</f>
        <v>0</v>
      </c>
      <c r="R1571" s="36">
        <f t="shared" si="333"/>
        <v>33</v>
      </c>
    </row>
    <row r="1572" spans="1:18" ht="12.75">
      <c r="A1572" s="62" t="str">
        <f ca="1">IF(ISERROR(MATCH(E1572,Код_КВР,0)),"",INDIRECT(ADDRESS(MATCH(E1572,Код_КВР,0)+1,2,,,"КВР")))</f>
        <v>Субсидии бюджетным учреждениям</v>
      </c>
      <c r="B1572" s="115" t="s">
        <v>379</v>
      </c>
      <c r="C1572" s="8" t="s">
        <v>230</v>
      </c>
      <c r="D1572" s="1" t="s">
        <v>221</v>
      </c>
      <c r="E1572" s="115">
        <v>610</v>
      </c>
      <c r="F1572" s="7"/>
      <c r="G1572" s="7"/>
      <c r="H1572" s="36"/>
      <c r="I1572" s="7">
        <f>I1573</f>
        <v>33</v>
      </c>
      <c r="J1572" s="36">
        <f t="shared" si="338"/>
        <v>33</v>
      </c>
      <c r="K1572" s="7">
        <f>K1573</f>
        <v>0</v>
      </c>
      <c r="L1572" s="36">
        <f t="shared" si="332"/>
        <v>33</v>
      </c>
      <c r="M1572" s="7">
        <f>M1573</f>
        <v>0</v>
      </c>
      <c r="N1572" s="36">
        <f t="shared" si="321"/>
        <v>33</v>
      </c>
      <c r="O1572" s="7">
        <f>O1573</f>
        <v>0</v>
      </c>
      <c r="P1572" s="36">
        <f t="shared" si="337"/>
        <v>33</v>
      </c>
      <c r="Q1572" s="7">
        <f>Q1573</f>
        <v>0</v>
      </c>
      <c r="R1572" s="36">
        <f t="shared" si="333"/>
        <v>33</v>
      </c>
    </row>
    <row r="1573" spans="1:18" ht="12.75">
      <c r="A1573" s="62" t="str">
        <f ca="1">IF(ISERROR(MATCH(E1573,Код_КВР,0)),"",INDIRECT(ADDRESS(MATCH(E1573,Код_КВР,0)+1,2,,,"КВР")))</f>
        <v>Субсидии бюджетным учреждениям на иные цели</v>
      </c>
      <c r="B1573" s="115" t="s">
        <v>379</v>
      </c>
      <c r="C1573" s="8" t="s">
        <v>230</v>
      </c>
      <c r="D1573" s="1" t="s">
        <v>221</v>
      </c>
      <c r="E1573" s="115">
        <v>612</v>
      </c>
      <c r="F1573" s="7"/>
      <c r="G1573" s="7"/>
      <c r="H1573" s="36"/>
      <c r="I1573" s="7">
        <f>'прил.5'!J1022</f>
        <v>33</v>
      </c>
      <c r="J1573" s="36">
        <f t="shared" si="338"/>
        <v>33</v>
      </c>
      <c r="K1573" s="7">
        <f>'прил.5'!L1022</f>
        <v>0</v>
      </c>
      <c r="L1573" s="36">
        <f t="shared" si="332"/>
        <v>33</v>
      </c>
      <c r="M1573" s="7">
        <f>'прил.5'!N1022</f>
        <v>0</v>
      </c>
      <c r="N1573" s="36">
        <f aca="true" t="shared" si="339" ref="N1573:N1640">L1573+M1573</f>
        <v>33</v>
      </c>
      <c r="O1573" s="7">
        <f>'прил.5'!P1022</f>
        <v>0</v>
      </c>
      <c r="P1573" s="36">
        <f t="shared" si="337"/>
        <v>33</v>
      </c>
      <c r="Q1573" s="7">
        <f>'прил.5'!R1022</f>
        <v>0</v>
      </c>
      <c r="R1573" s="36">
        <f t="shared" si="333"/>
        <v>33</v>
      </c>
    </row>
    <row r="1574" spans="1:18" ht="12.75">
      <c r="A1574" s="12" t="s">
        <v>171</v>
      </c>
      <c r="B1574" s="116" t="s">
        <v>379</v>
      </c>
      <c r="C1574" s="8" t="s">
        <v>230</v>
      </c>
      <c r="D1574" s="1" t="s">
        <v>224</v>
      </c>
      <c r="E1574" s="115"/>
      <c r="F1574" s="7"/>
      <c r="G1574" s="7"/>
      <c r="H1574" s="36"/>
      <c r="I1574" s="7">
        <f>I1575</f>
        <v>36</v>
      </c>
      <c r="J1574" s="36">
        <f t="shared" si="338"/>
        <v>36</v>
      </c>
      <c r="K1574" s="7">
        <f>K1575</f>
        <v>0</v>
      </c>
      <c r="L1574" s="36">
        <f t="shared" si="332"/>
        <v>36</v>
      </c>
      <c r="M1574" s="7">
        <f>M1575</f>
        <v>0</v>
      </c>
      <c r="N1574" s="36">
        <f t="shared" si="339"/>
        <v>36</v>
      </c>
      <c r="O1574" s="7">
        <f>O1575</f>
        <v>0</v>
      </c>
      <c r="P1574" s="36">
        <f t="shared" si="337"/>
        <v>36</v>
      </c>
      <c r="Q1574" s="7">
        <f>Q1575</f>
        <v>0</v>
      </c>
      <c r="R1574" s="36">
        <f t="shared" si="333"/>
        <v>36</v>
      </c>
    </row>
    <row r="1575" spans="1:18" ht="33">
      <c r="A1575" s="62" t="str">
        <f ca="1">IF(ISERROR(MATCH(E1575,Код_КВР,0)),"",INDIRECT(ADDRESS(MATCH(E1575,Код_КВР,0)+1,2,,,"КВР")))</f>
        <v>Предоставление субсидий бюджетным, автономным учреждениям и иным некоммерческим организациям</v>
      </c>
      <c r="B1575" s="115" t="s">
        <v>379</v>
      </c>
      <c r="C1575" s="8" t="s">
        <v>230</v>
      </c>
      <c r="D1575" s="1" t="s">
        <v>224</v>
      </c>
      <c r="E1575" s="115">
        <v>600</v>
      </c>
      <c r="F1575" s="7"/>
      <c r="G1575" s="7"/>
      <c r="H1575" s="36"/>
      <c r="I1575" s="7">
        <f>I1576</f>
        <v>36</v>
      </c>
      <c r="J1575" s="36">
        <f t="shared" si="338"/>
        <v>36</v>
      </c>
      <c r="K1575" s="7">
        <f>K1576</f>
        <v>0</v>
      </c>
      <c r="L1575" s="36">
        <f t="shared" si="332"/>
        <v>36</v>
      </c>
      <c r="M1575" s="7">
        <f>M1576</f>
        <v>0</v>
      </c>
      <c r="N1575" s="36">
        <f t="shared" si="339"/>
        <v>36</v>
      </c>
      <c r="O1575" s="7">
        <f>O1576</f>
        <v>0</v>
      </c>
      <c r="P1575" s="36">
        <f t="shared" si="337"/>
        <v>36</v>
      </c>
      <c r="Q1575" s="7">
        <f>Q1576</f>
        <v>0</v>
      </c>
      <c r="R1575" s="36">
        <f t="shared" si="333"/>
        <v>36</v>
      </c>
    </row>
    <row r="1576" spans="1:18" ht="12.75">
      <c r="A1576" s="62" t="str">
        <f ca="1">IF(ISERROR(MATCH(E1576,Код_КВР,0)),"",INDIRECT(ADDRESS(MATCH(E1576,Код_КВР,0)+1,2,,,"КВР")))</f>
        <v>Субсидии бюджетным учреждениям</v>
      </c>
      <c r="B1576" s="115" t="s">
        <v>379</v>
      </c>
      <c r="C1576" s="8" t="s">
        <v>230</v>
      </c>
      <c r="D1576" s="1" t="s">
        <v>224</v>
      </c>
      <c r="E1576" s="115">
        <v>610</v>
      </c>
      <c r="F1576" s="7"/>
      <c r="G1576" s="7"/>
      <c r="H1576" s="36"/>
      <c r="I1576" s="7">
        <f>I1577</f>
        <v>36</v>
      </c>
      <c r="J1576" s="36">
        <f t="shared" si="338"/>
        <v>36</v>
      </c>
      <c r="K1576" s="7">
        <f>K1577</f>
        <v>0</v>
      </c>
      <c r="L1576" s="36">
        <f t="shared" si="332"/>
        <v>36</v>
      </c>
      <c r="M1576" s="7">
        <f>M1577</f>
        <v>0</v>
      </c>
      <c r="N1576" s="36">
        <f t="shared" si="339"/>
        <v>36</v>
      </c>
      <c r="O1576" s="7">
        <f>O1577</f>
        <v>0</v>
      </c>
      <c r="P1576" s="36">
        <f t="shared" si="337"/>
        <v>36</v>
      </c>
      <c r="Q1576" s="7">
        <f>Q1577</f>
        <v>0</v>
      </c>
      <c r="R1576" s="36">
        <f t="shared" si="333"/>
        <v>36</v>
      </c>
    </row>
    <row r="1577" spans="1:18" ht="12.75">
      <c r="A1577" s="62" t="str">
        <f ca="1">IF(ISERROR(MATCH(E1577,Код_КВР,0)),"",INDIRECT(ADDRESS(MATCH(E1577,Код_КВР,0)+1,2,,,"КВР")))</f>
        <v>Субсидии бюджетным учреждениям на иные цели</v>
      </c>
      <c r="B1577" s="115" t="s">
        <v>379</v>
      </c>
      <c r="C1577" s="8" t="s">
        <v>230</v>
      </c>
      <c r="D1577" s="1" t="s">
        <v>224</v>
      </c>
      <c r="E1577" s="115">
        <v>612</v>
      </c>
      <c r="F1577" s="7"/>
      <c r="G1577" s="7"/>
      <c r="H1577" s="36"/>
      <c r="I1577" s="7">
        <f>'прил.5'!J1136</f>
        <v>36</v>
      </c>
      <c r="J1577" s="36">
        <f t="shared" si="338"/>
        <v>36</v>
      </c>
      <c r="K1577" s="7">
        <f>'прил.5'!L1136</f>
        <v>0</v>
      </c>
      <c r="L1577" s="36">
        <f t="shared" si="332"/>
        <v>36</v>
      </c>
      <c r="M1577" s="7">
        <f>'прил.5'!N1136</f>
        <v>0</v>
      </c>
      <c r="N1577" s="36">
        <f t="shared" si="339"/>
        <v>36</v>
      </c>
      <c r="O1577" s="7">
        <f>'прил.5'!P1136</f>
        <v>0</v>
      </c>
      <c r="P1577" s="36">
        <f t="shared" si="337"/>
        <v>36</v>
      </c>
      <c r="Q1577" s="7">
        <f>'прил.5'!R1136</f>
        <v>0</v>
      </c>
      <c r="R1577" s="36">
        <f t="shared" si="333"/>
        <v>36</v>
      </c>
    </row>
    <row r="1578" spans="1:18" ht="12.75">
      <c r="A1578" s="62" t="str">
        <f ca="1">IF(ISERROR(MATCH(C1578,Код_Раздел,0)),"",INDIRECT(ADDRESS(MATCH(C1578,Код_Раздел,0)+1,2,,,"Раздел")))</f>
        <v>Физическая культура и спорт</v>
      </c>
      <c r="B1578" s="116" t="s">
        <v>379</v>
      </c>
      <c r="C1578" s="8" t="s">
        <v>232</v>
      </c>
      <c r="D1578" s="1"/>
      <c r="E1578" s="115"/>
      <c r="F1578" s="7"/>
      <c r="G1578" s="7"/>
      <c r="H1578" s="36"/>
      <c r="I1578" s="7">
        <f>I1579+I1582</f>
        <v>4413.9</v>
      </c>
      <c r="J1578" s="36">
        <f aca="true" t="shared" si="340" ref="J1578:J1585">H1578+I1578</f>
        <v>4413.9</v>
      </c>
      <c r="K1578" s="7">
        <f>K1579+K1582</f>
        <v>0</v>
      </c>
      <c r="L1578" s="36">
        <f t="shared" si="332"/>
        <v>4413.9</v>
      </c>
      <c r="M1578" s="7">
        <f>M1579+M1582</f>
        <v>0</v>
      </c>
      <c r="N1578" s="36">
        <f t="shared" si="339"/>
        <v>4413.9</v>
      </c>
      <c r="O1578" s="7">
        <f>O1579+O1582</f>
        <v>0</v>
      </c>
      <c r="P1578" s="36">
        <f t="shared" si="337"/>
        <v>4413.9</v>
      </c>
      <c r="Q1578" s="7">
        <f>Q1579+Q1582</f>
        <v>0</v>
      </c>
      <c r="R1578" s="36">
        <f t="shared" si="333"/>
        <v>4413.9</v>
      </c>
    </row>
    <row r="1579" spans="1:18" ht="12.75">
      <c r="A1579" s="12" t="s">
        <v>275</v>
      </c>
      <c r="B1579" s="116" t="s">
        <v>379</v>
      </c>
      <c r="C1579" s="8" t="s">
        <v>232</v>
      </c>
      <c r="D1579" s="1" t="s">
        <v>222</v>
      </c>
      <c r="E1579" s="115"/>
      <c r="F1579" s="7"/>
      <c r="G1579" s="7"/>
      <c r="H1579" s="36"/>
      <c r="I1579" s="7">
        <f>I1580</f>
        <v>1600</v>
      </c>
      <c r="J1579" s="36">
        <f t="shared" si="340"/>
        <v>1600</v>
      </c>
      <c r="K1579" s="7">
        <f>K1580</f>
        <v>0</v>
      </c>
      <c r="L1579" s="36">
        <f t="shared" si="332"/>
        <v>1600</v>
      </c>
      <c r="M1579" s="7">
        <f>M1580</f>
        <v>0</v>
      </c>
      <c r="N1579" s="36">
        <f t="shared" si="339"/>
        <v>1600</v>
      </c>
      <c r="O1579" s="7">
        <f>O1580</f>
        <v>0</v>
      </c>
      <c r="P1579" s="36">
        <f t="shared" si="337"/>
        <v>1600</v>
      </c>
      <c r="Q1579" s="7">
        <f>Q1580</f>
        <v>0</v>
      </c>
      <c r="R1579" s="36">
        <f t="shared" si="333"/>
        <v>1600</v>
      </c>
    </row>
    <row r="1580" spans="1:18" ht="23.25" customHeight="1">
      <c r="A1580" s="62" t="str">
        <f ca="1">IF(ISERROR(MATCH(E1580,Код_КВР,0)),"",INDIRECT(ADDRESS(MATCH(E1580,Код_КВР,0)+1,2,,,"КВР")))</f>
        <v>Иные бюджетные ассигнования</v>
      </c>
      <c r="B1580" s="115" t="s">
        <v>379</v>
      </c>
      <c r="C1580" s="8" t="s">
        <v>232</v>
      </c>
      <c r="D1580" s="1" t="s">
        <v>222</v>
      </c>
      <c r="E1580" s="115">
        <v>800</v>
      </c>
      <c r="F1580" s="7"/>
      <c r="G1580" s="7"/>
      <c r="H1580" s="36"/>
      <c r="I1580" s="7">
        <f>I1581</f>
        <v>1600</v>
      </c>
      <c r="J1580" s="36">
        <f t="shared" si="340"/>
        <v>1600</v>
      </c>
      <c r="K1580" s="7">
        <f>K1581</f>
        <v>0</v>
      </c>
      <c r="L1580" s="36">
        <f t="shared" si="332"/>
        <v>1600</v>
      </c>
      <c r="M1580" s="7">
        <f>M1581</f>
        <v>0</v>
      </c>
      <c r="N1580" s="36">
        <f t="shared" si="339"/>
        <v>1600</v>
      </c>
      <c r="O1580" s="7">
        <f>O1581</f>
        <v>0</v>
      </c>
      <c r="P1580" s="36">
        <f t="shared" si="337"/>
        <v>1600</v>
      </c>
      <c r="Q1580" s="7">
        <f>Q1581</f>
        <v>0</v>
      </c>
      <c r="R1580" s="36">
        <f t="shared" si="333"/>
        <v>1600</v>
      </c>
    </row>
    <row r="1581" spans="1:18" ht="49.5">
      <c r="A1581" s="62" t="str">
        <f ca="1">IF(ISERROR(MATCH(E1581,Код_КВР,0)),"",INDIRECT(ADDRESS(MATCH(E1581,Код_КВР,0)+1,2,,,"КВР")))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581" s="115" t="s">
        <v>379</v>
      </c>
      <c r="C1581" s="8" t="s">
        <v>232</v>
      </c>
      <c r="D1581" s="1" t="s">
        <v>222</v>
      </c>
      <c r="E1581" s="115">
        <v>810</v>
      </c>
      <c r="F1581" s="7"/>
      <c r="G1581" s="7"/>
      <c r="H1581" s="36"/>
      <c r="I1581" s="7">
        <f>'прил.5'!J1215</f>
        <v>1600</v>
      </c>
      <c r="J1581" s="36">
        <f t="shared" si="340"/>
        <v>1600</v>
      </c>
      <c r="K1581" s="7">
        <f>'прил.5'!L1215</f>
        <v>0</v>
      </c>
      <c r="L1581" s="36">
        <f t="shared" si="332"/>
        <v>1600</v>
      </c>
      <c r="M1581" s="7">
        <f>'прил.5'!N1215</f>
        <v>0</v>
      </c>
      <c r="N1581" s="36">
        <f t="shared" si="339"/>
        <v>1600</v>
      </c>
      <c r="O1581" s="7">
        <f>'прил.5'!P1215</f>
        <v>0</v>
      </c>
      <c r="P1581" s="36">
        <f t="shared" si="337"/>
        <v>1600</v>
      </c>
      <c r="Q1581" s="7">
        <f>'прил.5'!R1215</f>
        <v>0</v>
      </c>
      <c r="R1581" s="36">
        <f t="shared" si="333"/>
        <v>1600</v>
      </c>
    </row>
    <row r="1582" spans="1:18" ht="12.75">
      <c r="A1582" s="12" t="s">
        <v>200</v>
      </c>
      <c r="B1582" s="116" t="s">
        <v>379</v>
      </c>
      <c r="C1582" s="8" t="s">
        <v>232</v>
      </c>
      <c r="D1582" s="1" t="s">
        <v>229</v>
      </c>
      <c r="E1582" s="115"/>
      <c r="F1582" s="7"/>
      <c r="G1582" s="7"/>
      <c r="H1582" s="36"/>
      <c r="I1582" s="7">
        <f>I1583</f>
        <v>2813.9</v>
      </c>
      <c r="J1582" s="36">
        <f t="shared" si="340"/>
        <v>2813.9</v>
      </c>
      <c r="K1582" s="7">
        <f>K1583</f>
        <v>0</v>
      </c>
      <c r="L1582" s="36">
        <f t="shared" si="332"/>
        <v>2813.9</v>
      </c>
      <c r="M1582" s="7">
        <f>M1583</f>
        <v>0</v>
      </c>
      <c r="N1582" s="36">
        <f t="shared" si="339"/>
        <v>2813.9</v>
      </c>
      <c r="O1582" s="7">
        <f>O1583</f>
        <v>0</v>
      </c>
      <c r="P1582" s="36">
        <f t="shared" si="337"/>
        <v>2813.9</v>
      </c>
      <c r="Q1582" s="7">
        <f>Q1583</f>
        <v>0</v>
      </c>
      <c r="R1582" s="36">
        <f t="shared" si="333"/>
        <v>2813.9</v>
      </c>
    </row>
    <row r="1583" spans="1:18" ht="33">
      <c r="A1583" s="62" t="str">
        <f ca="1">IF(ISERROR(MATCH(E1583,Код_КВР,0)),"",INDIRECT(ADDRESS(MATCH(E1583,Код_КВР,0)+1,2,,,"КВР")))</f>
        <v>Капитальные вложения в объекты недвижимого имущества муниципальной собственности</v>
      </c>
      <c r="B1583" s="115" t="s">
        <v>379</v>
      </c>
      <c r="C1583" s="8" t="s">
        <v>232</v>
      </c>
      <c r="D1583" s="1" t="s">
        <v>229</v>
      </c>
      <c r="E1583" s="115">
        <v>400</v>
      </c>
      <c r="F1583" s="7"/>
      <c r="G1583" s="7"/>
      <c r="H1583" s="36"/>
      <c r="I1583" s="7">
        <f>I1584</f>
        <v>2813.9</v>
      </c>
      <c r="J1583" s="36">
        <f t="shared" si="340"/>
        <v>2813.9</v>
      </c>
      <c r="K1583" s="7">
        <f>K1584</f>
        <v>0</v>
      </c>
      <c r="L1583" s="36">
        <f t="shared" si="332"/>
        <v>2813.9</v>
      </c>
      <c r="M1583" s="7">
        <f>M1584</f>
        <v>0</v>
      </c>
      <c r="N1583" s="36">
        <f t="shared" si="339"/>
        <v>2813.9</v>
      </c>
      <c r="O1583" s="7">
        <f>O1584</f>
        <v>0</v>
      </c>
      <c r="P1583" s="36">
        <f t="shared" si="337"/>
        <v>2813.9</v>
      </c>
      <c r="Q1583" s="7">
        <f>Q1584</f>
        <v>0</v>
      </c>
      <c r="R1583" s="36">
        <f t="shared" si="333"/>
        <v>2813.9</v>
      </c>
    </row>
    <row r="1584" spans="1:18" ht="20.25" customHeight="1">
      <c r="A1584" s="62" t="str">
        <f ca="1">IF(ISERROR(MATCH(E1584,Код_КВР,0)),"",INDIRECT(ADDRESS(MATCH(E1584,Код_КВР,0)+1,2,,,"КВР")))</f>
        <v>Бюджетные инвестиции</v>
      </c>
      <c r="B1584" s="115" t="s">
        <v>379</v>
      </c>
      <c r="C1584" s="8" t="s">
        <v>232</v>
      </c>
      <c r="D1584" s="1" t="s">
        <v>229</v>
      </c>
      <c r="E1584" s="115">
        <v>410</v>
      </c>
      <c r="F1584" s="7"/>
      <c r="G1584" s="7"/>
      <c r="H1584" s="36"/>
      <c r="I1584" s="7">
        <f>I1585</f>
        <v>2813.9</v>
      </c>
      <c r="J1584" s="36">
        <f t="shared" si="340"/>
        <v>2813.9</v>
      </c>
      <c r="K1584" s="7">
        <f>K1585</f>
        <v>0</v>
      </c>
      <c r="L1584" s="36">
        <f t="shared" si="332"/>
        <v>2813.9</v>
      </c>
      <c r="M1584" s="7">
        <f>M1585</f>
        <v>0</v>
      </c>
      <c r="N1584" s="36">
        <f t="shared" si="339"/>
        <v>2813.9</v>
      </c>
      <c r="O1584" s="7">
        <f>O1585</f>
        <v>0</v>
      </c>
      <c r="P1584" s="36">
        <f t="shared" si="337"/>
        <v>2813.9</v>
      </c>
      <c r="Q1584" s="7">
        <f>Q1585</f>
        <v>0</v>
      </c>
      <c r="R1584" s="36">
        <f t="shared" si="333"/>
        <v>2813.9</v>
      </c>
    </row>
    <row r="1585" spans="1:18" ht="35.25" customHeight="1">
      <c r="A1585" s="62" t="str">
        <f ca="1">IF(ISERROR(MATCH(E1585,Код_КВР,0)),"",INDIRECT(ADDRESS(MATCH(E1585,Код_КВР,0)+1,2,,,"КВР")))</f>
        <v>Бюджетные инвестиции в объекты капитального строительства муниципальной собственности</v>
      </c>
      <c r="B1585" s="115" t="s">
        <v>379</v>
      </c>
      <c r="C1585" s="8" t="s">
        <v>232</v>
      </c>
      <c r="D1585" s="1" t="s">
        <v>229</v>
      </c>
      <c r="E1585" s="115">
        <v>414</v>
      </c>
      <c r="F1585" s="7"/>
      <c r="G1585" s="7"/>
      <c r="H1585" s="36"/>
      <c r="I1585" s="7">
        <f>'прил.5'!J1588</f>
        <v>2813.9</v>
      </c>
      <c r="J1585" s="36">
        <f t="shared" si="340"/>
        <v>2813.9</v>
      </c>
      <c r="K1585" s="7">
        <f>'прил.5'!L1588</f>
        <v>0</v>
      </c>
      <c r="L1585" s="36">
        <f t="shared" si="332"/>
        <v>2813.9</v>
      </c>
      <c r="M1585" s="7">
        <f>'прил.5'!N1588</f>
        <v>0</v>
      </c>
      <c r="N1585" s="36">
        <f t="shared" si="339"/>
        <v>2813.9</v>
      </c>
      <c r="O1585" s="7">
        <f>'прил.5'!P1588</f>
        <v>0</v>
      </c>
      <c r="P1585" s="36">
        <f t="shared" si="337"/>
        <v>2813.9</v>
      </c>
      <c r="Q1585" s="7">
        <f>'прил.5'!R1588</f>
        <v>0</v>
      </c>
      <c r="R1585" s="36">
        <f t="shared" si="333"/>
        <v>2813.9</v>
      </c>
    </row>
    <row r="1586" spans="1:18" ht="135.75" customHeight="1">
      <c r="A1586" s="62" t="str">
        <f ca="1">IF(ISERROR(MATCH(B1586,Код_КЦСР,0)),"",INDIRECT(ADDRESS(MATCH(B1586,Код_КЦСР,0)+1,2,,,"КЦСР")))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586" s="116" t="s">
        <v>398</v>
      </c>
      <c r="C1586" s="8"/>
      <c r="D1586" s="1"/>
      <c r="E1586" s="115"/>
      <c r="F1586" s="7">
        <f>F1587</f>
        <v>6969.8</v>
      </c>
      <c r="G1586" s="7">
        <f>G1587</f>
        <v>0</v>
      </c>
      <c r="H1586" s="36">
        <f t="shared" si="323"/>
        <v>6969.8</v>
      </c>
      <c r="I1586" s="7">
        <f>I1587</f>
        <v>0</v>
      </c>
      <c r="J1586" s="36">
        <f t="shared" si="320"/>
        <v>6969.8</v>
      </c>
      <c r="K1586" s="7">
        <f>K1587</f>
        <v>0</v>
      </c>
      <c r="L1586" s="36">
        <f t="shared" si="332"/>
        <v>6969.8</v>
      </c>
      <c r="M1586" s="7">
        <f>M1587</f>
        <v>0</v>
      </c>
      <c r="N1586" s="36">
        <f t="shared" si="339"/>
        <v>6969.8</v>
      </c>
      <c r="O1586" s="7">
        <f>O1587</f>
        <v>0</v>
      </c>
      <c r="P1586" s="36">
        <f t="shared" si="337"/>
        <v>6969.8</v>
      </c>
      <c r="Q1586" s="7">
        <f>Q1587</f>
        <v>0</v>
      </c>
      <c r="R1586" s="36">
        <f t="shared" si="333"/>
        <v>6969.8</v>
      </c>
    </row>
    <row r="1587" spans="1:18" ht="12.75">
      <c r="A1587" s="62" t="str">
        <f ca="1">IF(ISERROR(MATCH(C1587,Код_Раздел,0)),"",INDIRECT(ADDRESS(MATCH(C1587,Код_Раздел,0)+1,2,,,"Раздел")))</f>
        <v>Образование</v>
      </c>
      <c r="B1587" s="116" t="s">
        <v>398</v>
      </c>
      <c r="C1587" s="8" t="s">
        <v>203</v>
      </c>
      <c r="D1587" s="1"/>
      <c r="E1587" s="115"/>
      <c r="F1587" s="7">
        <f>F1588</f>
        <v>6969.8</v>
      </c>
      <c r="G1587" s="7">
        <f>G1588</f>
        <v>0</v>
      </c>
      <c r="H1587" s="36">
        <f t="shared" si="323"/>
        <v>6969.8</v>
      </c>
      <c r="I1587" s="7">
        <f>I1588</f>
        <v>0</v>
      </c>
      <c r="J1587" s="36">
        <f t="shared" si="320"/>
        <v>6969.8</v>
      </c>
      <c r="K1587" s="7">
        <f>K1588</f>
        <v>0</v>
      </c>
      <c r="L1587" s="36">
        <f t="shared" si="332"/>
        <v>6969.8</v>
      </c>
      <c r="M1587" s="7">
        <f>M1588</f>
        <v>0</v>
      </c>
      <c r="N1587" s="36">
        <f t="shared" si="339"/>
        <v>6969.8</v>
      </c>
      <c r="O1587" s="7">
        <f>O1588</f>
        <v>0</v>
      </c>
      <c r="P1587" s="36">
        <f t="shared" si="337"/>
        <v>6969.8</v>
      </c>
      <c r="Q1587" s="7">
        <f>Q1588</f>
        <v>0</v>
      </c>
      <c r="R1587" s="36">
        <f t="shared" si="333"/>
        <v>6969.8</v>
      </c>
    </row>
    <row r="1588" spans="1:18" ht="12.75">
      <c r="A1588" s="12" t="s">
        <v>259</v>
      </c>
      <c r="B1588" s="116" t="s">
        <v>398</v>
      </c>
      <c r="C1588" s="8" t="s">
        <v>203</v>
      </c>
      <c r="D1588" s="1" t="s">
        <v>227</v>
      </c>
      <c r="E1588" s="115"/>
      <c r="F1588" s="7">
        <f>F1589+F1591</f>
        <v>6969.8</v>
      </c>
      <c r="G1588" s="7">
        <f>G1589+G1591</f>
        <v>0</v>
      </c>
      <c r="H1588" s="36">
        <f t="shared" si="323"/>
        <v>6969.8</v>
      </c>
      <c r="I1588" s="7">
        <f>I1589+I1591</f>
        <v>0</v>
      </c>
      <c r="J1588" s="36">
        <f t="shared" si="320"/>
        <v>6969.8</v>
      </c>
      <c r="K1588" s="7">
        <f>K1589+K1591</f>
        <v>0</v>
      </c>
      <c r="L1588" s="36">
        <f t="shared" si="332"/>
        <v>6969.8</v>
      </c>
      <c r="M1588" s="7">
        <f>M1589+M1591</f>
        <v>0</v>
      </c>
      <c r="N1588" s="36">
        <f t="shared" si="339"/>
        <v>6969.8</v>
      </c>
      <c r="O1588" s="7">
        <f>O1589+O1591</f>
        <v>0</v>
      </c>
      <c r="P1588" s="36">
        <f t="shared" si="337"/>
        <v>6969.8</v>
      </c>
      <c r="Q1588" s="7">
        <f>Q1589+Q1591</f>
        <v>0</v>
      </c>
      <c r="R1588" s="36">
        <f t="shared" si="333"/>
        <v>6969.8</v>
      </c>
    </row>
    <row r="1589" spans="1:18" ht="33">
      <c r="A1589" s="62" t="str">
        <f ca="1">IF(ISERROR(MATCH(E1589,Код_КВР,0)),"",INDIRECT(ADDRESS(MATCH(E1589,Код_КВР,0)+1,2,,,"КВР")))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89" s="116" t="s">
        <v>398</v>
      </c>
      <c r="C1589" s="8" t="s">
        <v>203</v>
      </c>
      <c r="D1589" s="1" t="s">
        <v>227</v>
      </c>
      <c r="E1589" s="115">
        <v>100</v>
      </c>
      <c r="F1589" s="7">
        <f>F1590</f>
        <v>6501.2</v>
      </c>
      <c r="G1589" s="7">
        <f>G1590</f>
        <v>0</v>
      </c>
      <c r="H1589" s="36">
        <f t="shared" si="323"/>
        <v>6501.2</v>
      </c>
      <c r="I1589" s="7">
        <f>I1590</f>
        <v>0</v>
      </c>
      <c r="J1589" s="36">
        <f t="shared" si="320"/>
        <v>6501.2</v>
      </c>
      <c r="K1589" s="7">
        <f>K1590</f>
        <v>0</v>
      </c>
      <c r="L1589" s="36">
        <f t="shared" si="332"/>
        <v>6501.2</v>
      </c>
      <c r="M1589" s="7">
        <f>M1590</f>
        <v>0</v>
      </c>
      <c r="N1589" s="36">
        <f t="shared" si="339"/>
        <v>6501.2</v>
      </c>
      <c r="O1589" s="7">
        <f>O1590</f>
        <v>-2</v>
      </c>
      <c r="P1589" s="36">
        <f t="shared" si="337"/>
        <v>6499.2</v>
      </c>
      <c r="Q1589" s="7">
        <f>Q1590</f>
        <v>167</v>
      </c>
      <c r="R1589" s="36">
        <f t="shared" si="333"/>
        <v>6666.2</v>
      </c>
    </row>
    <row r="1590" spans="1:18" ht="12.75">
      <c r="A1590" s="62" t="str">
        <f ca="1">IF(ISERROR(MATCH(E1590,Код_КВР,0)),"",INDIRECT(ADDRESS(MATCH(E1590,Код_КВР,0)+1,2,,,"КВР")))</f>
        <v>Расходы на выплаты персоналу муниципальных органов</v>
      </c>
      <c r="B1590" s="116" t="s">
        <v>398</v>
      </c>
      <c r="C1590" s="8" t="s">
        <v>203</v>
      </c>
      <c r="D1590" s="1" t="s">
        <v>227</v>
      </c>
      <c r="E1590" s="115">
        <v>120</v>
      </c>
      <c r="F1590" s="7">
        <f>'прил.5'!G801</f>
        <v>6501.2</v>
      </c>
      <c r="G1590" s="7">
        <f>'прил.5'!H801</f>
        <v>0</v>
      </c>
      <c r="H1590" s="36">
        <f t="shared" si="323"/>
        <v>6501.2</v>
      </c>
      <c r="I1590" s="7">
        <f>'прил.5'!J801</f>
        <v>0</v>
      </c>
      <c r="J1590" s="36">
        <f t="shared" si="320"/>
        <v>6501.2</v>
      </c>
      <c r="K1590" s="7">
        <f>'прил.5'!L801</f>
        <v>0</v>
      </c>
      <c r="L1590" s="36">
        <f t="shared" si="332"/>
        <v>6501.2</v>
      </c>
      <c r="M1590" s="7">
        <f>'прил.5'!N801</f>
        <v>0</v>
      </c>
      <c r="N1590" s="36">
        <f t="shared" si="339"/>
        <v>6501.2</v>
      </c>
      <c r="O1590" s="7">
        <f>'прил.5'!P801</f>
        <v>-2</v>
      </c>
      <c r="P1590" s="36">
        <f t="shared" si="337"/>
        <v>6499.2</v>
      </c>
      <c r="Q1590" s="7">
        <f>'прил.5'!R801</f>
        <v>167</v>
      </c>
      <c r="R1590" s="36">
        <f t="shared" si="333"/>
        <v>6666.2</v>
      </c>
    </row>
    <row r="1591" spans="1:18" ht="12.75">
      <c r="A1591" s="62" t="str">
        <f ca="1">IF(ISERROR(MATCH(E1591,Код_КВР,0)),"",INDIRECT(ADDRESS(MATCH(E1591,Код_КВР,0)+1,2,,,"КВР")))</f>
        <v>Закупка товаров, работ и услуг для муниципальных нужд</v>
      </c>
      <c r="B1591" s="116" t="s">
        <v>398</v>
      </c>
      <c r="C1591" s="8" t="s">
        <v>203</v>
      </c>
      <c r="D1591" s="1" t="s">
        <v>227</v>
      </c>
      <c r="E1591" s="115">
        <v>200</v>
      </c>
      <c r="F1591" s="7">
        <f>F1592</f>
        <v>468.6</v>
      </c>
      <c r="G1591" s="7">
        <f>G1592</f>
        <v>0</v>
      </c>
      <c r="H1591" s="36">
        <f t="shared" si="323"/>
        <v>468.6</v>
      </c>
      <c r="I1591" s="7">
        <f>I1592</f>
        <v>0</v>
      </c>
      <c r="J1591" s="36">
        <f t="shared" si="320"/>
        <v>468.6</v>
      </c>
      <c r="K1591" s="7">
        <f>K1592</f>
        <v>0</v>
      </c>
      <c r="L1591" s="36">
        <f t="shared" si="332"/>
        <v>468.6</v>
      </c>
      <c r="M1591" s="7">
        <f>M1592</f>
        <v>0</v>
      </c>
      <c r="N1591" s="36">
        <f t="shared" si="339"/>
        <v>468.6</v>
      </c>
      <c r="O1591" s="7">
        <f>O1592</f>
        <v>2</v>
      </c>
      <c r="P1591" s="36">
        <f t="shared" si="337"/>
        <v>470.6</v>
      </c>
      <c r="Q1591" s="7">
        <f>Q1592</f>
        <v>-167</v>
      </c>
      <c r="R1591" s="36">
        <f t="shared" si="333"/>
        <v>303.6</v>
      </c>
    </row>
    <row r="1592" spans="1:18" ht="33">
      <c r="A1592" s="62" t="str">
        <f ca="1">IF(ISERROR(MATCH(E1592,Код_КВР,0)),"",INDIRECT(ADDRESS(MATCH(E1592,Код_КВР,0)+1,2,,,"КВР")))</f>
        <v>Иные закупки товаров, работ и услуг для обеспечения муниципальных нужд</v>
      </c>
      <c r="B1592" s="116" t="s">
        <v>398</v>
      </c>
      <c r="C1592" s="8" t="s">
        <v>203</v>
      </c>
      <c r="D1592" s="1" t="s">
        <v>227</v>
      </c>
      <c r="E1592" s="115">
        <v>240</v>
      </c>
      <c r="F1592" s="7">
        <f>F1593</f>
        <v>468.6</v>
      </c>
      <c r="G1592" s="7">
        <f>G1593</f>
        <v>0</v>
      </c>
      <c r="H1592" s="36">
        <f t="shared" si="323"/>
        <v>468.6</v>
      </c>
      <c r="I1592" s="7">
        <f>I1593</f>
        <v>0</v>
      </c>
      <c r="J1592" s="36">
        <f t="shared" si="320"/>
        <v>468.6</v>
      </c>
      <c r="K1592" s="7">
        <f>K1593</f>
        <v>0</v>
      </c>
      <c r="L1592" s="36">
        <f t="shared" si="332"/>
        <v>468.6</v>
      </c>
      <c r="M1592" s="7">
        <f>M1593</f>
        <v>0</v>
      </c>
      <c r="N1592" s="36">
        <f t="shared" si="339"/>
        <v>468.6</v>
      </c>
      <c r="O1592" s="7">
        <f>O1593</f>
        <v>2</v>
      </c>
      <c r="P1592" s="36">
        <f t="shared" si="337"/>
        <v>470.6</v>
      </c>
      <c r="Q1592" s="7">
        <f>Q1593</f>
        <v>-167</v>
      </c>
      <c r="R1592" s="36">
        <f t="shared" si="333"/>
        <v>303.6</v>
      </c>
    </row>
    <row r="1593" spans="1:18" ht="33">
      <c r="A1593" s="62" t="str">
        <f ca="1">IF(ISERROR(MATCH(E1593,Код_КВР,0)),"",INDIRECT(ADDRESS(MATCH(E1593,Код_КВР,0)+1,2,,,"КВР")))</f>
        <v xml:space="preserve">Прочая закупка товаров, работ и услуг для обеспечения муниципальных нужд         </v>
      </c>
      <c r="B1593" s="116" t="s">
        <v>398</v>
      </c>
      <c r="C1593" s="8" t="s">
        <v>203</v>
      </c>
      <c r="D1593" s="1" t="s">
        <v>227</v>
      </c>
      <c r="E1593" s="115">
        <v>244</v>
      </c>
      <c r="F1593" s="7">
        <f>'прил.5'!G804</f>
        <v>468.6</v>
      </c>
      <c r="G1593" s="7">
        <f>'прил.5'!H804</f>
        <v>0</v>
      </c>
      <c r="H1593" s="36">
        <f t="shared" si="323"/>
        <v>468.6</v>
      </c>
      <c r="I1593" s="7">
        <f>'прил.5'!J804</f>
        <v>0</v>
      </c>
      <c r="J1593" s="36">
        <f t="shared" si="320"/>
        <v>468.6</v>
      </c>
      <c r="K1593" s="7">
        <f>'прил.5'!L804</f>
        <v>0</v>
      </c>
      <c r="L1593" s="36">
        <f t="shared" si="332"/>
        <v>468.6</v>
      </c>
      <c r="M1593" s="7">
        <f>'прил.5'!N804</f>
        <v>0</v>
      </c>
      <c r="N1593" s="36">
        <f t="shared" si="339"/>
        <v>468.6</v>
      </c>
      <c r="O1593" s="7">
        <f>'прил.5'!P804</f>
        <v>2</v>
      </c>
      <c r="P1593" s="36">
        <f t="shared" si="337"/>
        <v>470.6</v>
      </c>
      <c r="Q1593" s="7">
        <f>'прил.5'!R804</f>
        <v>-167</v>
      </c>
      <c r="R1593" s="36">
        <f t="shared" si="333"/>
        <v>303.6</v>
      </c>
    </row>
    <row r="1594" spans="1:18" ht="86.25" customHeight="1">
      <c r="A1594" s="62" t="str">
        <f ca="1">IF(ISERROR(MATCH(B1594,Код_КЦСР,0)),"",INDIRECT(ADDRESS(MATCH(B1594,Код_КЦСР,0)+1,2,,,"КЦСР")))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594" s="116" t="s">
        <v>407</v>
      </c>
      <c r="C1594" s="8"/>
      <c r="D1594" s="1"/>
      <c r="E1594" s="115"/>
      <c r="F1594" s="7">
        <f>F1595</f>
        <v>21882.500000000004</v>
      </c>
      <c r="G1594" s="7">
        <f>G1595</f>
        <v>0</v>
      </c>
      <c r="H1594" s="36">
        <f t="shared" si="323"/>
        <v>21882.500000000004</v>
      </c>
      <c r="I1594" s="7">
        <f>I1595</f>
        <v>0</v>
      </c>
      <c r="J1594" s="36">
        <f t="shared" si="320"/>
        <v>21882.500000000004</v>
      </c>
      <c r="K1594" s="7">
        <f>K1595</f>
        <v>0</v>
      </c>
      <c r="L1594" s="36">
        <f t="shared" si="332"/>
        <v>21882.500000000004</v>
      </c>
      <c r="M1594" s="7">
        <f>M1595</f>
        <v>0</v>
      </c>
      <c r="N1594" s="36">
        <f t="shared" si="339"/>
        <v>21882.500000000004</v>
      </c>
      <c r="O1594" s="7">
        <f>O1595</f>
        <v>0</v>
      </c>
      <c r="P1594" s="36">
        <f t="shared" si="337"/>
        <v>21882.500000000004</v>
      </c>
      <c r="Q1594" s="7">
        <f>Q1595</f>
        <v>1534.7</v>
      </c>
      <c r="R1594" s="36">
        <f t="shared" si="333"/>
        <v>23417.200000000004</v>
      </c>
    </row>
    <row r="1595" spans="1:18" ht="12.75">
      <c r="A1595" s="62" t="str">
        <f ca="1">IF(ISERROR(MATCH(C1595,Код_Раздел,0)),"",INDIRECT(ADDRESS(MATCH(C1595,Код_Раздел,0)+1,2,,,"Раздел")))</f>
        <v>Социальная политика</v>
      </c>
      <c r="B1595" s="116" t="s">
        <v>407</v>
      </c>
      <c r="C1595" s="8" t="s">
        <v>196</v>
      </c>
      <c r="D1595" s="1"/>
      <c r="E1595" s="115"/>
      <c r="F1595" s="7">
        <f>F1596</f>
        <v>21882.500000000004</v>
      </c>
      <c r="G1595" s="7">
        <f>G1596</f>
        <v>0</v>
      </c>
      <c r="H1595" s="36">
        <f t="shared" si="323"/>
        <v>21882.500000000004</v>
      </c>
      <c r="I1595" s="7">
        <f>I1596</f>
        <v>0</v>
      </c>
      <c r="J1595" s="36">
        <f t="shared" si="320"/>
        <v>21882.500000000004</v>
      </c>
      <c r="K1595" s="7">
        <f>K1596</f>
        <v>0</v>
      </c>
      <c r="L1595" s="36">
        <f t="shared" si="332"/>
        <v>21882.500000000004</v>
      </c>
      <c r="M1595" s="7">
        <f>M1596</f>
        <v>0</v>
      </c>
      <c r="N1595" s="36">
        <f t="shared" si="339"/>
        <v>21882.500000000004</v>
      </c>
      <c r="O1595" s="7">
        <f>O1596</f>
        <v>0</v>
      </c>
      <c r="P1595" s="36">
        <f t="shared" si="337"/>
        <v>21882.500000000004</v>
      </c>
      <c r="Q1595" s="7">
        <f>Q1596</f>
        <v>1534.7</v>
      </c>
      <c r="R1595" s="36">
        <f t="shared" si="333"/>
        <v>23417.200000000004</v>
      </c>
    </row>
    <row r="1596" spans="1:18" ht="12.75">
      <c r="A1596" s="12" t="s">
        <v>197</v>
      </c>
      <c r="B1596" s="116" t="s">
        <v>407</v>
      </c>
      <c r="C1596" s="8" t="s">
        <v>196</v>
      </c>
      <c r="D1596" s="1" t="s">
        <v>225</v>
      </c>
      <c r="E1596" s="115"/>
      <c r="F1596" s="7">
        <f>F1597+F1599</f>
        <v>21882.500000000004</v>
      </c>
      <c r="G1596" s="7">
        <f>G1597+G1599</f>
        <v>0</v>
      </c>
      <c r="H1596" s="36">
        <f t="shared" si="323"/>
        <v>21882.500000000004</v>
      </c>
      <c r="I1596" s="7">
        <f>I1597+I1599+I1602</f>
        <v>0</v>
      </c>
      <c r="J1596" s="36">
        <f t="shared" si="320"/>
        <v>21882.500000000004</v>
      </c>
      <c r="K1596" s="7">
        <f>K1597+K1599+K1602</f>
        <v>0</v>
      </c>
      <c r="L1596" s="36">
        <f t="shared" si="332"/>
        <v>21882.500000000004</v>
      </c>
      <c r="M1596" s="7">
        <f>M1597+M1599+M1602</f>
        <v>0</v>
      </c>
      <c r="N1596" s="36">
        <f t="shared" si="339"/>
        <v>21882.500000000004</v>
      </c>
      <c r="O1596" s="7">
        <f>O1597+O1599+O1602</f>
        <v>0</v>
      </c>
      <c r="P1596" s="36">
        <f t="shared" si="337"/>
        <v>21882.500000000004</v>
      </c>
      <c r="Q1596" s="7">
        <f>Q1597+Q1599+Q1602</f>
        <v>1534.7</v>
      </c>
      <c r="R1596" s="36">
        <f t="shared" si="333"/>
        <v>23417.200000000004</v>
      </c>
    </row>
    <row r="1597" spans="1:18" ht="33">
      <c r="A1597" s="62" t="str">
        <f ca="1">IF(ISERROR(MATCH(E1597,Код_КВР,0)),"",INDIRECT(ADDRESS(MATCH(E1597,Код_КВР,0)+1,2,,,"КВР")))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97" s="116" t="s">
        <v>407</v>
      </c>
      <c r="C1597" s="8" t="s">
        <v>196</v>
      </c>
      <c r="D1597" s="1" t="s">
        <v>225</v>
      </c>
      <c r="E1597" s="115">
        <v>100</v>
      </c>
      <c r="F1597" s="7">
        <f>F1598</f>
        <v>20191.300000000003</v>
      </c>
      <c r="G1597" s="7">
        <f>G1598</f>
        <v>0</v>
      </c>
      <c r="H1597" s="36">
        <f t="shared" si="323"/>
        <v>20191.300000000003</v>
      </c>
      <c r="I1597" s="7">
        <f>I1598</f>
        <v>7.5</v>
      </c>
      <c r="J1597" s="36">
        <f t="shared" si="320"/>
        <v>20198.800000000003</v>
      </c>
      <c r="K1597" s="7">
        <f>K1598</f>
        <v>0</v>
      </c>
      <c r="L1597" s="36">
        <f t="shared" si="332"/>
        <v>20198.800000000003</v>
      </c>
      <c r="M1597" s="7">
        <f>M1598</f>
        <v>0</v>
      </c>
      <c r="N1597" s="36">
        <f t="shared" si="339"/>
        <v>20198.800000000003</v>
      </c>
      <c r="O1597" s="7">
        <f>O1598</f>
        <v>0</v>
      </c>
      <c r="P1597" s="36">
        <f t="shared" si="337"/>
        <v>20198.800000000003</v>
      </c>
      <c r="Q1597" s="7">
        <f>Q1598</f>
        <v>1240.9</v>
      </c>
      <c r="R1597" s="36">
        <f t="shared" si="333"/>
        <v>21439.700000000004</v>
      </c>
    </row>
    <row r="1598" spans="1:18" ht="12.75">
      <c r="A1598" s="62" t="str">
        <f ca="1">IF(ISERROR(MATCH(E1598,Код_КВР,0)),"",INDIRECT(ADDRESS(MATCH(E1598,Код_КВР,0)+1,2,,,"КВР")))</f>
        <v>Расходы на выплаты персоналу муниципальных органов</v>
      </c>
      <c r="B1598" s="116" t="s">
        <v>407</v>
      </c>
      <c r="C1598" s="8" t="s">
        <v>196</v>
      </c>
      <c r="D1598" s="1" t="s">
        <v>225</v>
      </c>
      <c r="E1598" s="115">
        <v>120</v>
      </c>
      <c r="F1598" s="7">
        <f>'прил.5'!G1362</f>
        <v>20191.300000000003</v>
      </c>
      <c r="G1598" s="7">
        <f>'прил.5'!H1362</f>
        <v>0</v>
      </c>
      <c r="H1598" s="36">
        <f t="shared" si="323"/>
        <v>20191.300000000003</v>
      </c>
      <c r="I1598" s="7">
        <f>'прил.5'!J1362</f>
        <v>7.5</v>
      </c>
      <c r="J1598" s="36">
        <f t="shared" si="320"/>
        <v>20198.800000000003</v>
      </c>
      <c r="K1598" s="7">
        <f>'прил.5'!L1362</f>
        <v>0</v>
      </c>
      <c r="L1598" s="36">
        <f t="shared" si="332"/>
        <v>20198.800000000003</v>
      </c>
      <c r="M1598" s="7">
        <f>'прил.5'!N1362</f>
        <v>0</v>
      </c>
      <c r="N1598" s="36">
        <f t="shared" si="339"/>
        <v>20198.800000000003</v>
      </c>
      <c r="O1598" s="7">
        <f>'прил.5'!P1362</f>
        <v>0</v>
      </c>
      <c r="P1598" s="36">
        <f t="shared" si="337"/>
        <v>20198.800000000003</v>
      </c>
      <c r="Q1598" s="7">
        <f>'прил.5'!R1362</f>
        <v>1240.9</v>
      </c>
      <c r="R1598" s="36">
        <f t="shared" si="333"/>
        <v>21439.700000000004</v>
      </c>
    </row>
    <row r="1599" spans="1:18" ht="12.75">
      <c r="A1599" s="62" t="str">
        <f ca="1">IF(ISERROR(MATCH(E1599,Код_КВР,0)),"",INDIRECT(ADDRESS(MATCH(E1599,Код_КВР,0)+1,2,,,"КВР")))</f>
        <v>Закупка товаров, работ и услуг для муниципальных нужд</v>
      </c>
      <c r="B1599" s="116" t="s">
        <v>407</v>
      </c>
      <c r="C1599" s="8" t="s">
        <v>196</v>
      </c>
      <c r="D1599" s="1" t="s">
        <v>225</v>
      </c>
      <c r="E1599" s="115">
        <v>200</v>
      </c>
      <c r="F1599" s="7">
        <f>F1600</f>
        <v>1691.1999999999998</v>
      </c>
      <c r="G1599" s="7">
        <f>G1600</f>
        <v>0</v>
      </c>
      <c r="H1599" s="36">
        <f t="shared" si="323"/>
        <v>1691.1999999999998</v>
      </c>
      <c r="I1599" s="7">
        <f>I1600</f>
        <v>-24.9</v>
      </c>
      <c r="J1599" s="36">
        <f t="shared" si="320"/>
        <v>1666.2999999999997</v>
      </c>
      <c r="K1599" s="7">
        <f>K1600</f>
        <v>0</v>
      </c>
      <c r="L1599" s="36">
        <f aca="true" t="shared" si="341" ref="L1599:L1666">J1599+K1599</f>
        <v>1666.2999999999997</v>
      </c>
      <c r="M1599" s="7">
        <f>M1600</f>
        <v>0</v>
      </c>
      <c r="N1599" s="36">
        <f t="shared" si="339"/>
        <v>1666.2999999999997</v>
      </c>
      <c r="O1599" s="7">
        <f>O1600</f>
        <v>0</v>
      </c>
      <c r="P1599" s="36">
        <f t="shared" si="337"/>
        <v>1666.2999999999997</v>
      </c>
      <c r="Q1599" s="7">
        <f>Q1600</f>
        <v>293.8</v>
      </c>
      <c r="R1599" s="36">
        <f t="shared" si="333"/>
        <v>1960.0999999999997</v>
      </c>
    </row>
    <row r="1600" spans="1:18" ht="33">
      <c r="A1600" s="62" t="str">
        <f ca="1">IF(ISERROR(MATCH(E1600,Код_КВР,0)),"",INDIRECT(ADDRESS(MATCH(E1600,Код_КВР,0)+1,2,,,"КВР")))</f>
        <v>Иные закупки товаров, работ и услуг для обеспечения муниципальных нужд</v>
      </c>
      <c r="B1600" s="116" t="s">
        <v>407</v>
      </c>
      <c r="C1600" s="8" t="s">
        <v>196</v>
      </c>
      <c r="D1600" s="1" t="s">
        <v>225</v>
      </c>
      <c r="E1600" s="115">
        <v>240</v>
      </c>
      <c r="F1600" s="7">
        <f>F1601</f>
        <v>1691.1999999999998</v>
      </c>
      <c r="G1600" s="7">
        <f>G1601</f>
        <v>0</v>
      </c>
      <c r="H1600" s="36">
        <f t="shared" si="323"/>
        <v>1691.1999999999998</v>
      </c>
      <c r="I1600" s="7">
        <f>I1601</f>
        <v>-24.9</v>
      </c>
      <c r="J1600" s="36">
        <f t="shared" si="320"/>
        <v>1666.2999999999997</v>
      </c>
      <c r="K1600" s="7">
        <f>K1601</f>
        <v>0</v>
      </c>
      <c r="L1600" s="36">
        <f t="shared" si="341"/>
        <v>1666.2999999999997</v>
      </c>
      <c r="M1600" s="7">
        <f>M1601</f>
        <v>0</v>
      </c>
      <c r="N1600" s="36">
        <f t="shared" si="339"/>
        <v>1666.2999999999997</v>
      </c>
      <c r="O1600" s="7">
        <f>O1601</f>
        <v>0</v>
      </c>
      <c r="P1600" s="36">
        <f t="shared" si="337"/>
        <v>1666.2999999999997</v>
      </c>
      <c r="Q1600" s="7">
        <f>Q1601</f>
        <v>293.8</v>
      </c>
      <c r="R1600" s="36">
        <f t="shared" si="333"/>
        <v>1960.0999999999997</v>
      </c>
    </row>
    <row r="1601" spans="1:18" ht="33">
      <c r="A1601" s="62" t="str">
        <f ca="1">IF(ISERROR(MATCH(E1601,Код_КВР,0)),"",INDIRECT(ADDRESS(MATCH(E1601,Код_КВР,0)+1,2,,,"КВР")))</f>
        <v xml:space="preserve">Прочая закупка товаров, работ и услуг для обеспечения муниципальных нужд         </v>
      </c>
      <c r="B1601" s="116" t="s">
        <v>407</v>
      </c>
      <c r="C1601" s="8" t="s">
        <v>196</v>
      </c>
      <c r="D1601" s="1" t="s">
        <v>225</v>
      </c>
      <c r="E1601" s="115">
        <v>244</v>
      </c>
      <c r="F1601" s="7">
        <f>'прил.5'!G1365</f>
        <v>1691.1999999999998</v>
      </c>
      <c r="G1601" s="7">
        <f>'прил.5'!H1365</f>
        <v>0</v>
      </c>
      <c r="H1601" s="36">
        <f t="shared" si="323"/>
        <v>1691.1999999999998</v>
      </c>
      <c r="I1601" s="7">
        <f>'прил.5'!J1365</f>
        <v>-24.9</v>
      </c>
      <c r="J1601" s="36">
        <f t="shared" si="320"/>
        <v>1666.2999999999997</v>
      </c>
      <c r="K1601" s="7">
        <f>'прил.5'!L1365</f>
        <v>0</v>
      </c>
      <c r="L1601" s="36">
        <f t="shared" si="341"/>
        <v>1666.2999999999997</v>
      </c>
      <c r="M1601" s="7">
        <f>'прил.5'!N1365</f>
        <v>0</v>
      </c>
      <c r="N1601" s="36">
        <f t="shared" si="339"/>
        <v>1666.2999999999997</v>
      </c>
      <c r="O1601" s="7">
        <f>'прил.5'!P1365</f>
        <v>0</v>
      </c>
      <c r="P1601" s="36">
        <f t="shared" si="337"/>
        <v>1666.2999999999997</v>
      </c>
      <c r="Q1601" s="7">
        <f>'прил.5'!R1365</f>
        <v>293.8</v>
      </c>
      <c r="R1601" s="36">
        <f t="shared" si="333"/>
        <v>1960.0999999999997</v>
      </c>
    </row>
    <row r="1602" spans="1:18" ht="12.75">
      <c r="A1602" s="62" t="str">
        <f aca="true" t="shared" si="342" ref="A1602:A1605">IF(ISERROR(MATCH(E1602,Код_КВР,0)),"",INDIRECT(ADDRESS(MATCH(E1602,Код_КВР,0)+1,2,,,"КВР")))</f>
        <v>Иные бюджетные ассигнования</v>
      </c>
      <c r="B1602" s="116" t="s">
        <v>407</v>
      </c>
      <c r="C1602" s="8" t="s">
        <v>196</v>
      </c>
      <c r="D1602" s="1" t="s">
        <v>225</v>
      </c>
      <c r="E1602" s="115">
        <v>800</v>
      </c>
      <c r="F1602" s="7"/>
      <c r="G1602" s="7"/>
      <c r="H1602" s="36"/>
      <c r="I1602" s="7">
        <f>I1603</f>
        <v>17.4</v>
      </c>
      <c r="J1602" s="36">
        <f t="shared" si="320"/>
        <v>17.4</v>
      </c>
      <c r="K1602" s="7">
        <f>K1603</f>
        <v>0</v>
      </c>
      <c r="L1602" s="36">
        <f t="shared" si="341"/>
        <v>17.4</v>
      </c>
      <c r="M1602" s="7">
        <f>M1603</f>
        <v>0</v>
      </c>
      <c r="N1602" s="36">
        <f t="shared" si="339"/>
        <v>17.4</v>
      </c>
      <c r="O1602" s="7">
        <f>O1603</f>
        <v>0</v>
      </c>
      <c r="P1602" s="36">
        <f t="shared" si="337"/>
        <v>17.4</v>
      </c>
      <c r="Q1602" s="7">
        <f>Q1603</f>
        <v>0</v>
      </c>
      <c r="R1602" s="36">
        <f t="shared" si="333"/>
        <v>17.4</v>
      </c>
    </row>
    <row r="1603" spans="1:18" ht="12.75">
      <c r="A1603" s="62" t="str">
        <f ca="1" t="shared" si="342"/>
        <v>Уплата налогов, сборов и иных платежей</v>
      </c>
      <c r="B1603" s="116" t="s">
        <v>407</v>
      </c>
      <c r="C1603" s="8" t="s">
        <v>196</v>
      </c>
      <c r="D1603" s="1" t="s">
        <v>225</v>
      </c>
      <c r="E1603" s="115">
        <v>850</v>
      </c>
      <c r="F1603" s="7"/>
      <c r="G1603" s="7"/>
      <c r="H1603" s="36"/>
      <c r="I1603" s="7">
        <f>I1604+I1605</f>
        <v>17.4</v>
      </c>
      <c r="J1603" s="36">
        <f t="shared" si="320"/>
        <v>17.4</v>
      </c>
      <c r="K1603" s="7">
        <f>K1604+K1605</f>
        <v>0</v>
      </c>
      <c r="L1603" s="36">
        <f t="shared" si="341"/>
        <v>17.4</v>
      </c>
      <c r="M1603" s="7">
        <f>M1604+M1605</f>
        <v>0</v>
      </c>
      <c r="N1603" s="36">
        <f t="shared" si="339"/>
        <v>17.4</v>
      </c>
      <c r="O1603" s="7">
        <f>O1604+O1605</f>
        <v>0</v>
      </c>
      <c r="P1603" s="36">
        <f t="shared" si="337"/>
        <v>17.4</v>
      </c>
      <c r="Q1603" s="7">
        <f>Q1604+Q1605</f>
        <v>0</v>
      </c>
      <c r="R1603" s="36">
        <f t="shared" si="333"/>
        <v>17.4</v>
      </c>
    </row>
    <row r="1604" spans="1:18" ht="12.75">
      <c r="A1604" s="62" t="str">
        <f ca="1" t="shared" si="342"/>
        <v>Уплата налога на имущество организаций и земельного налога</v>
      </c>
      <c r="B1604" s="116" t="s">
        <v>407</v>
      </c>
      <c r="C1604" s="8" t="s">
        <v>196</v>
      </c>
      <c r="D1604" s="1" t="s">
        <v>225</v>
      </c>
      <c r="E1604" s="115">
        <v>851</v>
      </c>
      <c r="F1604" s="7"/>
      <c r="G1604" s="7"/>
      <c r="H1604" s="36"/>
      <c r="I1604" s="7">
        <f>'прил.5'!J1368</f>
        <v>7.4</v>
      </c>
      <c r="J1604" s="36">
        <f t="shared" si="320"/>
        <v>7.4</v>
      </c>
      <c r="K1604" s="7">
        <f>'прил.5'!L1368</f>
        <v>0</v>
      </c>
      <c r="L1604" s="36">
        <f t="shared" si="341"/>
        <v>7.4</v>
      </c>
      <c r="M1604" s="7">
        <f>'прил.5'!N1368</f>
        <v>0</v>
      </c>
      <c r="N1604" s="36">
        <f t="shared" si="339"/>
        <v>7.4</v>
      </c>
      <c r="O1604" s="7">
        <f>'прил.5'!P1368</f>
        <v>0</v>
      </c>
      <c r="P1604" s="36">
        <f t="shared" si="337"/>
        <v>7.4</v>
      </c>
      <c r="Q1604" s="7">
        <f>'прил.5'!R1368</f>
        <v>0</v>
      </c>
      <c r="R1604" s="36">
        <f t="shared" si="333"/>
        <v>7.4</v>
      </c>
    </row>
    <row r="1605" spans="1:18" ht="12.75">
      <c r="A1605" s="62" t="str">
        <f ca="1" t="shared" si="342"/>
        <v>Уплата прочих налогов, сборов и иных платежей</v>
      </c>
      <c r="B1605" s="116" t="s">
        <v>407</v>
      </c>
      <c r="C1605" s="8" t="s">
        <v>196</v>
      </c>
      <c r="D1605" s="1" t="s">
        <v>225</v>
      </c>
      <c r="E1605" s="115">
        <v>852</v>
      </c>
      <c r="F1605" s="7"/>
      <c r="G1605" s="7"/>
      <c r="H1605" s="36"/>
      <c r="I1605" s="7">
        <f>'прил.5'!J1369</f>
        <v>10</v>
      </c>
      <c r="J1605" s="36">
        <f t="shared" si="320"/>
        <v>10</v>
      </c>
      <c r="K1605" s="7">
        <f>'прил.5'!L1369</f>
        <v>0</v>
      </c>
      <c r="L1605" s="36">
        <f t="shared" si="341"/>
        <v>10</v>
      </c>
      <c r="M1605" s="7">
        <f>'прил.5'!N1369</f>
        <v>0</v>
      </c>
      <c r="N1605" s="36">
        <f t="shared" si="339"/>
        <v>10</v>
      </c>
      <c r="O1605" s="7">
        <f>'прил.5'!P1369</f>
        <v>0</v>
      </c>
      <c r="P1605" s="36">
        <f t="shared" si="337"/>
        <v>10</v>
      </c>
      <c r="Q1605" s="7">
        <f>'прил.5'!R1369</f>
        <v>0</v>
      </c>
      <c r="R1605" s="36">
        <f t="shared" si="333"/>
        <v>10</v>
      </c>
    </row>
    <row r="1606" spans="1:18" ht="150.75" customHeight="1">
      <c r="A1606" s="62" t="str">
        <f ca="1">IF(ISERROR(MATCH(B1606,Код_КЦСР,0)),"",INDIRECT(ADDRESS(MATCH(B1606,Код_КЦСР,0)+1,2,,,"КЦСР")))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606" s="116" t="s">
        <v>402</v>
      </c>
      <c r="C1606" s="8"/>
      <c r="D1606" s="1"/>
      <c r="E1606" s="115"/>
      <c r="F1606" s="7">
        <f>F1607</f>
        <v>2682.5</v>
      </c>
      <c r="G1606" s="7">
        <f>G1607</f>
        <v>0</v>
      </c>
      <c r="H1606" s="36">
        <f t="shared" si="323"/>
        <v>2682.5</v>
      </c>
      <c r="I1606" s="7">
        <f>I1607</f>
        <v>0</v>
      </c>
      <c r="J1606" s="36">
        <f t="shared" si="320"/>
        <v>2682.5</v>
      </c>
      <c r="K1606" s="7">
        <f>K1607</f>
        <v>0</v>
      </c>
      <c r="L1606" s="36">
        <f t="shared" si="341"/>
        <v>2682.5</v>
      </c>
      <c r="M1606" s="7">
        <f>M1607</f>
        <v>0</v>
      </c>
      <c r="N1606" s="36">
        <f t="shared" si="339"/>
        <v>2682.5</v>
      </c>
      <c r="O1606" s="7">
        <f>O1607</f>
        <v>0</v>
      </c>
      <c r="P1606" s="36">
        <f t="shared" si="337"/>
        <v>2682.5</v>
      </c>
      <c r="Q1606" s="7">
        <f>Q1607</f>
        <v>0</v>
      </c>
      <c r="R1606" s="36">
        <f t="shared" si="333"/>
        <v>2682.5</v>
      </c>
    </row>
    <row r="1607" spans="1:18" ht="12.75">
      <c r="A1607" s="62" t="str">
        <f ca="1">IF(ISERROR(MATCH(C1607,Код_Раздел,0)),"",INDIRECT(ADDRESS(MATCH(C1607,Код_Раздел,0)+1,2,,,"Раздел")))</f>
        <v>Социальная политика</v>
      </c>
      <c r="B1607" s="116" t="s">
        <v>402</v>
      </c>
      <c r="C1607" s="8" t="s">
        <v>196</v>
      </c>
      <c r="D1607" s="1"/>
      <c r="E1607" s="115"/>
      <c r="F1607" s="7">
        <f>F1608</f>
        <v>2682.5</v>
      </c>
      <c r="G1607" s="7">
        <f>G1608</f>
        <v>0</v>
      </c>
      <c r="H1607" s="36">
        <f t="shared" si="323"/>
        <v>2682.5</v>
      </c>
      <c r="I1607" s="7">
        <f>I1608</f>
        <v>0</v>
      </c>
      <c r="J1607" s="36">
        <f t="shared" si="320"/>
        <v>2682.5</v>
      </c>
      <c r="K1607" s="7">
        <f>K1608</f>
        <v>0</v>
      </c>
      <c r="L1607" s="36">
        <f t="shared" si="341"/>
        <v>2682.5</v>
      </c>
      <c r="M1607" s="7">
        <f>M1608</f>
        <v>0</v>
      </c>
      <c r="N1607" s="36">
        <f t="shared" si="339"/>
        <v>2682.5</v>
      </c>
      <c r="O1607" s="7">
        <f>O1608</f>
        <v>0</v>
      </c>
      <c r="P1607" s="36">
        <f t="shared" si="337"/>
        <v>2682.5</v>
      </c>
      <c r="Q1607" s="7">
        <f>Q1608</f>
        <v>0</v>
      </c>
      <c r="R1607" s="36">
        <f aca="true" t="shared" si="343" ref="R1607:R1674">P1607+Q1607</f>
        <v>2682.5</v>
      </c>
    </row>
    <row r="1608" spans="1:18" ht="12.75">
      <c r="A1608" s="12" t="s">
        <v>197</v>
      </c>
      <c r="B1608" s="116" t="s">
        <v>402</v>
      </c>
      <c r="C1608" s="8" t="s">
        <v>196</v>
      </c>
      <c r="D1608" s="1" t="s">
        <v>225</v>
      </c>
      <c r="E1608" s="115"/>
      <c r="F1608" s="7">
        <f>F1609+F1611</f>
        <v>2682.5</v>
      </c>
      <c r="G1608" s="7">
        <f>G1609+G1611</f>
        <v>0</v>
      </c>
      <c r="H1608" s="36">
        <f t="shared" si="323"/>
        <v>2682.5</v>
      </c>
      <c r="I1608" s="7">
        <f>I1609+I1611</f>
        <v>0</v>
      </c>
      <c r="J1608" s="36">
        <f t="shared" si="320"/>
        <v>2682.5</v>
      </c>
      <c r="K1608" s="7">
        <f>K1609+K1611</f>
        <v>0</v>
      </c>
      <c r="L1608" s="36">
        <f t="shared" si="341"/>
        <v>2682.5</v>
      </c>
      <c r="M1608" s="7">
        <f>M1609+M1611</f>
        <v>0</v>
      </c>
      <c r="N1608" s="36">
        <f t="shared" si="339"/>
        <v>2682.5</v>
      </c>
      <c r="O1608" s="7">
        <f>O1609+O1611</f>
        <v>0</v>
      </c>
      <c r="P1608" s="36">
        <f t="shared" si="337"/>
        <v>2682.5</v>
      </c>
      <c r="Q1608" s="7">
        <f>Q1609+Q1611</f>
        <v>0</v>
      </c>
      <c r="R1608" s="36">
        <f t="shared" si="343"/>
        <v>2682.5</v>
      </c>
    </row>
    <row r="1609" spans="1:18" ht="33">
      <c r="A1609" s="62" t="str">
        <f ca="1">IF(ISERROR(MATCH(E1609,Код_КВР,0)),"",INDIRECT(ADDRESS(MATCH(E1609,Код_КВР,0)+1,2,,,"КВР")))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09" s="116" t="s">
        <v>402</v>
      </c>
      <c r="C1609" s="8" t="s">
        <v>196</v>
      </c>
      <c r="D1609" s="1" t="s">
        <v>225</v>
      </c>
      <c r="E1609" s="115">
        <v>100</v>
      </c>
      <c r="F1609" s="7">
        <f>F1610</f>
        <v>2180.9</v>
      </c>
      <c r="G1609" s="7">
        <f>G1610</f>
        <v>0</v>
      </c>
      <c r="H1609" s="36">
        <f t="shared" si="323"/>
        <v>2180.9</v>
      </c>
      <c r="I1609" s="7">
        <f>I1610</f>
        <v>0</v>
      </c>
      <c r="J1609" s="36">
        <f t="shared" si="320"/>
        <v>2180.9</v>
      </c>
      <c r="K1609" s="7">
        <f>K1610</f>
        <v>0</v>
      </c>
      <c r="L1609" s="36">
        <f t="shared" si="341"/>
        <v>2180.9</v>
      </c>
      <c r="M1609" s="7">
        <f>M1610</f>
        <v>0</v>
      </c>
      <c r="N1609" s="36">
        <f t="shared" si="339"/>
        <v>2180.9</v>
      </c>
      <c r="O1609" s="7">
        <f>O1610</f>
        <v>0</v>
      </c>
      <c r="P1609" s="36">
        <f t="shared" si="337"/>
        <v>2180.9</v>
      </c>
      <c r="Q1609" s="7">
        <f>Q1610</f>
        <v>0</v>
      </c>
      <c r="R1609" s="36">
        <f t="shared" si="343"/>
        <v>2180.9</v>
      </c>
    </row>
    <row r="1610" spans="1:18" ht="12.75">
      <c r="A1610" s="62" t="str">
        <f ca="1">IF(ISERROR(MATCH(E1610,Код_КВР,0)),"",INDIRECT(ADDRESS(MATCH(E1610,Код_КВР,0)+1,2,,,"КВР")))</f>
        <v>Расходы на выплаты персоналу муниципальных органов</v>
      </c>
      <c r="B1610" s="116" t="s">
        <v>402</v>
      </c>
      <c r="C1610" s="8" t="s">
        <v>196</v>
      </c>
      <c r="D1610" s="1" t="s">
        <v>225</v>
      </c>
      <c r="E1610" s="115">
        <v>120</v>
      </c>
      <c r="F1610" s="7">
        <f>'прил.5'!G1372</f>
        <v>2180.9</v>
      </c>
      <c r="G1610" s="7">
        <f>'прил.5'!H1372</f>
        <v>0</v>
      </c>
      <c r="H1610" s="36">
        <f t="shared" si="323"/>
        <v>2180.9</v>
      </c>
      <c r="I1610" s="7">
        <f>'прил.5'!J1372</f>
        <v>0</v>
      </c>
      <c r="J1610" s="36">
        <f aca="true" t="shared" si="344" ref="J1610:J1677">H1610+I1610</f>
        <v>2180.9</v>
      </c>
      <c r="K1610" s="7">
        <f>'прил.5'!L1372</f>
        <v>0</v>
      </c>
      <c r="L1610" s="36">
        <f t="shared" si="341"/>
        <v>2180.9</v>
      </c>
      <c r="M1610" s="7">
        <f>'прил.5'!N1372</f>
        <v>0</v>
      </c>
      <c r="N1610" s="36">
        <f t="shared" si="339"/>
        <v>2180.9</v>
      </c>
      <c r="O1610" s="7">
        <f>'прил.5'!P1372</f>
        <v>0</v>
      </c>
      <c r="P1610" s="36">
        <f t="shared" si="337"/>
        <v>2180.9</v>
      </c>
      <c r="Q1610" s="7">
        <f>'прил.5'!R1372</f>
        <v>0</v>
      </c>
      <c r="R1610" s="36">
        <f t="shared" si="343"/>
        <v>2180.9</v>
      </c>
    </row>
    <row r="1611" spans="1:18" ht="12.75">
      <c r="A1611" s="62" t="str">
        <f ca="1">IF(ISERROR(MATCH(E1611,Код_КВР,0)),"",INDIRECT(ADDRESS(MATCH(E1611,Код_КВР,0)+1,2,,,"КВР")))</f>
        <v>Закупка товаров, работ и услуг для муниципальных нужд</v>
      </c>
      <c r="B1611" s="116" t="s">
        <v>402</v>
      </c>
      <c r="C1611" s="8" t="s">
        <v>196</v>
      </c>
      <c r="D1611" s="1" t="s">
        <v>225</v>
      </c>
      <c r="E1611" s="115">
        <v>200</v>
      </c>
      <c r="F1611" s="7">
        <f>F1612</f>
        <v>501.6</v>
      </c>
      <c r="G1611" s="7">
        <f>G1612</f>
        <v>0</v>
      </c>
      <c r="H1611" s="36">
        <f t="shared" si="323"/>
        <v>501.6</v>
      </c>
      <c r="I1611" s="7">
        <f>I1612</f>
        <v>0</v>
      </c>
      <c r="J1611" s="36">
        <f t="shared" si="344"/>
        <v>501.6</v>
      </c>
      <c r="K1611" s="7">
        <f>K1612</f>
        <v>0</v>
      </c>
      <c r="L1611" s="36">
        <f t="shared" si="341"/>
        <v>501.6</v>
      </c>
      <c r="M1611" s="7">
        <f>M1612</f>
        <v>0</v>
      </c>
      <c r="N1611" s="36">
        <f t="shared" si="339"/>
        <v>501.6</v>
      </c>
      <c r="O1611" s="7">
        <f>O1612</f>
        <v>0</v>
      </c>
      <c r="P1611" s="36">
        <f t="shared" si="337"/>
        <v>501.6</v>
      </c>
      <c r="Q1611" s="7">
        <f>Q1612</f>
        <v>0</v>
      </c>
      <c r="R1611" s="36">
        <f t="shared" si="343"/>
        <v>501.6</v>
      </c>
    </row>
    <row r="1612" spans="1:18" ht="33">
      <c r="A1612" s="62" t="str">
        <f ca="1">IF(ISERROR(MATCH(E1612,Код_КВР,0)),"",INDIRECT(ADDRESS(MATCH(E1612,Код_КВР,0)+1,2,,,"КВР")))</f>
        <v>Иные закупки товаров, работ и услуг для обеспечения муниципальных нужд</v>
      </c>
      <c r="B1612" s="116" t="s">
        <v>402</v>
      </c>
      <c r="C1612" s="8" t="s">
        <v>196</v>
      </c>
      <c r="D1612" s="1" t="s">
        <v>225</v>
      </c>
      <c r="E1612" s="115">
        <v>240</v>
      </c>
      <c r="F1612" s="7">
        <f>F1613</f>
        <v>501.6</v>
      </c>
      <c r="G1612" s="7">
        <f>G1613</f>
        <v>0</v>
      </c>
      <c r="H1612" s="36">
        <f t="shared" si="323"/>
        <v>501.6</v>
      </c>
      <c r="I1612" s="7">
        <f>I1613</f>
        <v>0</v>
      </c>
      <c r="J1612" s="36">
        <f t="shared" si="344"/>
        <v>501.6</v>
      </c>
      <c r="K1612" s="7">
        <f>K1613</f>
        <v>0</v>
      </c>
      <c r="L1612" s="36">
        <f t="shared" si="341"/>
        <v>501.6</v>
      </c>
      <c r="M1612" s="7">
        <f>M1613</f>
        <v>0</v>
      </c>
      <c r="N1612" s="36">
        <f t="shared" si="339"/>
        <v>501.6</v>
      </c>
      <c r="O1612" s="7">
        <f>O1613</f>
        <v>0</v>
      </c>
      <c r="P1612" s="36">
        <f t="shared" si="337"/>
        <v>501.6</v>
      </c>
      <c r="Q1612" s="7">
        <f>Q1613</f>
        <v>0</v>
      </c>
      <c r="R1612" s="36">
        <f t="shared" si="343"/>
        <v>501.6</v>
      </c>
    </row>
    <row r="1613" spans="1:18" ht="33">
      <c r="A1613" s="62" t="str">
        <f ca="1">IF(ISERROR(MATCH(E1613,Код_КВР,0)),"",INDIRECT(ADDRESS(MATCH(E1613,Код_КВР,0)+1,2,,,"КВР")))</f>
        <v xml:space="preserve">Прочая закупка товаров, работ и услуг для обеспечения муниципальных нужд         </v>
      </c>
      <c r="B1613" s="116" t="s">
        <v>402</v>
      </c>
      <c r="C1613" s="8" t="s">
        <v>196</v>
      </c>
      <c r="D1613" s="1" t="s">
        <v>225</v>
      </c>
      <c r="E1613" s="115">
        <v>244</v>
      </c>
      <c r="F1613" s="7">
        <f>'прил.5'!G1375</f>
        <v>501.6</v>
      </c>
      <c r="G1613" s="7">
        <f>'прил.5'!H1375</f>
        <v>0</v>
      </c>
      <c r="H1613" s="36">
        <f t="shared" si="323"/>
        <v>501.6</v>
      </c>
      <c r="I1613" s="7">
        <f>'прил.5'!J1375</f>
        <v>0</v>
      </c>
      <c r="J1613" s="36">
        <f t="shared" si="344"/>
        <v>501.6</v>
      </c>
      <c r="K1613" s="7">
        <f>'прил.5'!L1375</f>
        <v>0</v>
      </c>
      <c r="L1613" s="36">
        <f t="shared" si="341"/>
        <v>501.6</v>
      </c>
      <c r="M1613" s="7">
        <f>'прил.5'!N1375</f>
        <v>0</v>
      </c>
      <c r="N1613" s="36">
        <f t="shared" si="339"/>
        <v>501.6</v>
      </c>
      <c r="O1613" s="7">
        <f>'прил.5'!P1375</f>
        <v>0</v>
      </c>
      <c r="P1613" s="36">
        <f t="shared" si="337"/>
        <v>501.6</v>
      </c>
      <c r="Q1613" s="7">
        <f>'прил.5'!R1375</f>
        <v>0</v>
      </c>
      <c r="R1613" s="36">
        <f t="shared" si="343"/>
        <v>501.6</v>
      </c>
    </row>
    <row r="1614" spans="1:18" ht="120" customHeight="1">
      <c r="A1614" s="62" t="str">
        <f ca="1">IF(ISERROR(MATCH(B1614,Код_КЦСР,0)),"",INDIRECT(ADDRESS(MATCH(B1614,Код_КЦСР,0)+1,2,,,"КЦСР")))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614" s="116" t="s">
        <v>384</v>
      </c>
      <c r="C1614" s="8"/>
      <c r="D1614" s="1"/>
      <c r="E1614" s="115"/>
      <c r="F1614" s="7">
        <f>F1615</f>
        <v>1026.6</v>
      </c>
      <c r="G1614" s="7">
        <f>G1615</f>
        <v>0</v>
      </c>
      <c r="H1614" s="36">
        <f t="shared" si="323"/>
        <v>1026.6</v>
      </c>
      <c r="I1614" s="7">
        <f>I1615</f>
        <v>0</v>
      </c>
      <c r="J1614" s="36">
        <f t="shared" si="344"/>
        <v>1026.6</v>
      </c>
      <c r="K1614" s="7">
        <f>K1615</f>
        <v>0</v>
      </c>
      <c r="L1614" s="36">
        <f t="shared" si="341"/>
        <v>1026.6</v>
      </c>
      <c r="M1614" s="7">
        <f>M1615</f>
        <v>0</v>
      </c>
      <c r="N1614" s="36">
        <f t="shared" si="339"/>
        <v>1026.6</v>
      </c>
      <c r="O1614" s="7">
        <f>O1615</f>
        <v>0</v>
      </c>
      <c r="P1614" s="36">
        <f t="shared" si="337"/>
        <v>1026.6</v>
      </c>
      <c r="Q1614" s="7">
        <f>Q1615</f>
        <v>0</v>
      </c>
      <c r="R1614" s="36">
        <f t="shared" si="343"/>
        <v>1026.6</v>
      </c>
    </row>
    <row r="1615" spans="1:18" ht="19.5" customHeight="1">
      <c r="A1615" s="62" t="str">
        <f ca="1">IF(ISERROR(MATCH(C1615,Код_Раздел,0)),"",INDIRECT(ADDRESS(MATCH(C1615,Код_Раздел,0)+1,2,,,"Раздел")))</f>
        <v>Общегосударственные  вопросы</v>
      </c>
      <c r="B1615" s="116" t="s">
        <v>384</v>
      </c>
      <c r="C1615" s="8" t="s">
        <v>221</v>
      </c>
      <c r="D1615" s="1"/>
      <c r="E1615" s="115"/>
      <c r="F1615" s="7">
        <f>F1616</f>
        <v>1026.6</v>
      </c>
      <c r="G1615" s="7">
        <f>G1616</f>
        <v>0</v>
      </c>
      <c r="H1615" s="36">
        <f t="shared" si="323"/>
        <v>1026.6</v>
      </c>
      <c r="I1615" s="7">
        <f>I1616</f>
        <v>0</v>
      </c>
      <c r="J1615" s="36">
        <f t="shared" si="344"/>
        <v>1026.6</v>
      </c>
      <c r="K1615" s="7">
        <f>K1616</f>
        <v>0</v>
      </c>
      <c r="L1615" s="36">
        <f t="shared" si="341"/>
        <v>1026.6</v>
      </c>
      <c r="M1615" s="7">
        <f>M1616</f>
        <v>0</v>
      </c>
      <c r="N1615" s="36">
        <f t="shared" si="339"/>
        <v>1026.6</v>
      </c>
      <c r="O1615" s="7">
        <f>O1616</f>
        <v>0</v>
      </c>
      <c r="P1615" s="36">
        <f t="shared" si="337"/>
        <v>1026.6</v>
      </c>
      <c r="Q1615" s="7">
        <f>Q1616</f>
        <v>0</v>
      </c>
      <c r="R1615" s="36">
        <f t="shared" si="343"/>
        <v>1026.6</v>
      </c>
    </row>
    <row r="1616" spans="1:18" ht="55.5" customHeight="1">
      <c r="A1616" s="78" t="s">
        <v>243</v>
      </c>
      <c r="B1616" s="116" t="s">
        <v>384</v>
      </c>
      <c r="C1616" s="8" t="s">
        <v>221</v>
      </c>
      <c r="D1616" s="1" t="s">
        <v>224</v>
      </c>
      <c r="E1616" s="115"/>
      <c r="F1616" s="7">
        <f>F1617+F1619</f>
        <v>1026.6</v>
      </c>
      <c r="G1616" s="7">
        <f>G1617+G1619</f>
        <v>0</v>
      </c>
      <c r="H1616" s="36">
        <f t="shared" si="323"/>
        <v>1026.6</v>
      </c>
      <c r="I1616" s="7">
        <f>I1617+I1619</f>
        <v>0</v>
      </c>
      <c r="J1616" s="36">
        <f t="shared" si="344"/>
        <v>1026.6</v>
      </c>
      <c r="K1616" s="7">
        <f>K1617+K1619</f>
        <v>0</v>
      </c>
      <c r="L1616" s="36">
        <f t="shared" si="341"/>
        <v>1026.6</v>
      </c>
      <c r="M1616" s="7">
        <f>M1617+M1619</f>
        <v>0</v>
      </c>
      <c r="N1616" s="36">
        <f t="shared" si="339"/>
        <v>1026.6</v>
      </c>
      <c r="O1616" s="7">
        <f>O1617+O1619</f>
        <v>0</v>
      </c>
      <c r="P1616" s="36">
        <f aca="true" t="shared" si="345" ref="P1616:P1678">N1616+O1616</f>
        <v>1026.6</v>
      </c>
      <c r="Q1616" s="7">
        <f>Q1617+Q1619</f>
        <v>0</v>
      </c>
      <c r="R1616" s="36">
        <f t="shared" si="343"/>
        <v>1026.6</v>
      </c>
    </row>
    <row r="1617" spans="1:18" ht="33">
      <c r="A1617" s="62" t="str">
        <f ca="1">IF(ISERROR(MATCH(E1617,Код_КВР,0)),"",INDIRECT(ADDRESS(MATCH(E1617,Код_КВР,0)+1,2,,,"КВР")))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17" s="116" t="s">
        <v>384</v>
      </c>
      <c r="C1617" s="8" t="s">
        <v>221</v>
      </c>
      <c r="D1617" s="1" t="s">
        <v>224</v>
      </c>
      <c r="E1617" s="115">
        <v>100</v>
      </c>
      <c r="F1617" s="7">
        <f>F1618</f>
        <v>1016.6</v>
      </c>
      <c r="G1617" s="7">
        <f>G1618</f>
        <v>0</v>
      </c>
      <c r="H1617" s="36">
        <f t="shared" si="323"/>
        <v>1016.6</v>
      </c>
      <c r="I1617" s="7">
        <f>I1618</f>
        <v>0</v>
      </c>
      <c r="J1617" s="36">
        <f t="shared" si="344"/>
        <v>1016.6</v>
      </c>
      <c r="K1617" s="7">
        <f>K1618</f>
        <v>0</v>
      </c>
      <c r="L1617" s="36">
        <f t="shared" si="341"/>
        <v>1016.6</v>
      </c>
      <c r="M1617" s="7">
        <f>M1618</f>
        <v>0</v>
      </c>
      <c r="N1617" s="36">
        <f t="shared" si="339"/>
        <v>1016.6</v>
      </c>
      <c r="O1617" s="7">
        <f>O1618</f>
        <v>0</v>
      </c>
      <c r="P1617" s="36">
        <f t="shared" si="345"/>
        <v>1016.6</v>
      </c>
      <c r="Q1617" s="7">
        <f>Q1618</f>
        <v>0</v>
      </c>
      <c r="R1617" s="36">
        <f t="shared" si="343"/>
        <v>1016.6</v>
      </c>
    </row>
    <row r="1618" spans="1:18" ht="12.75">
      <c r="A1618" s="62" t="str">
        <f ca="1">IF(ISERROR(MATCH(E1618,Код_КВР,0)),"",INDIRECT(ADDRESS(MATCH(E1618,Код_КВР,0)+1,2,,,"КВР")))</f>
        <v>Расходы на выплаты персоналу муниципальных органов</v>
      </c>
      <c r="B1618" s="116" t="s">
        <v>384</v>
      </c>
      <c r="C1618" s="8" t="s">
        <v>221</v>
      </c>
      <c r="D1618" s="1" t="s">
        <v>224</v>
      </c>
      <c r="E1618" s="115">
        <v>120</v>
      </c>
      <c r="F1618" s="7">
        <f>'прил.5'!G45</f>
        <v>1016.6</v>
      </c>
      <c r="G1618" s="7">
        <f>'прил.5'!H45</f>
        <v>0</v>
      </c>
      <c r="H1618" s="36">
        <f aca="true" t="shared" si="346" ref="H1618:H1678">F1618+G1618</f>
        <v>1016.6</v>
      </c>
      <c r="I1618" s="7">
        <f>'прил.5'!J45</f>
        <v>0</v>
      </c>
      <c r="J1618" s="36">
        <f t="shared" si="344"/>
        <v>1016.6</v>
      </c>
      <c r="K1618" s="7">
        <f>'прил.5'!L45</f>
        <v>0</v>
      </c>
      <c r="L1618" s="36">
        <f t="shared" si="341"/>
        <v>1016.6</v>
      </c>
      <c r="M1618" s="7">
        <f>'прил.5'!N45</f>
        <v>0</v>
      </c>
      <c r="N1618" s="36">
        <f t="shared" si="339"/>
        <v>1016.6</v>
      </c>
      <c r="O1618" s="7">
        <f>'прил.5'!P45</f>
        <v>0</v>
      </c>
      <c r="P1618" s="36">
        <f t="shared" si="345"/>
        <v>1016.6</v>
      </c>
      <c r="Q1618" s="7">
        <f>'прил.5'!R45</f>
        <v>0</v>
      </c>
      <c r="R1618" s="36">
        <f t="shared" si="343"/>
        <v>1016.6</v>
      </c>
    </row>
    <row r="1619" spans="1:18" ht="12.75">
      <c r="A1619" s="62" t="str">
        <f ca="1">IF(ISERROR(MATCH(E1619,Код_КВР,0)),"",INDIRECT(ADDRESS(MATCH(E1619,Код_КВР,0)+1,2,,,"КВР")))</f>
        <v>Закупка товаров, работ и услуг для муниципальных нужд</v>
      </c>
      <c r="B1619" s="116" t="s">
        <v>384</v>
      </c>
      <c r="C1619" s="8" t="s">
        <v>221</v>
      </c>
      <c r="D1619" s="1" t="s">
        <v>224</v>
      </c>
      <c r="E1619" s="115">
        <v>200</v>
      </c>
      <c r="F1619" s="7">
        <f>F1620</f>
        <v>10</v>
      </c>
      <c r="G1619" s="7">
        <f>G1620</f>
        <v>0</v>
      </c>
      <c r="H1619" s="36">
        <f t="shared" si="346"/>
        <v>10</v>
      </c>
      <c r="I1619" s="7">
        <f>I1620</f>
        <v>0</v>
      </c>
      <c r="J1619" s="36">
        <f t="shared" si="344"/>
        <v>10</v>
      </c>
      <c r="K1619" s="7">
        <f>K1620</f>
        <v>0</v>
      </c>
      <c r="L1619" s="36">
        <f t="shared" si="341"/>
        <v>10</v>
      </c>
      <c r="M1619" s="7">
        <f>M1620</f>
        <v>0</v>
      </c>
      <c r="N1619" s="36">
        <f t="shared" si="339"/>
        <v>10</v>
      </c>
      <c r="O1619" s="7">
        <f>O1620</f>
        <v>0</v>
      </c>
      <c r="P1619" s="36">
        <f t="shared" si="345"/>
        <v>10</v>
      </c>
      <c r="Q1619" s="7">
        <f>Q1620</f>
        <v>0</v>
      </c>
      <c r="R1619" s="36">
        <f t="shared" si="343"/>
        <v>10</v>
      </c>
    </row>
    <row r="1620" spans="1:18" ht="33">
      <c r="A1620" s="62" t="str">
        <f ca="1">IF(ISERROR(MATCH(E1620,Код_КВР,0)),"",INDIRECT(ADDRESS(MATCH(E1620,Код_КВР,0)+1,2,,,"КВР")))</f>
        <v>Иные закупки товаров, работ и услуг для обеспечения муниципальных нужд</v>
      </c>
      <c r="B1620" s="116" t="s">
        <v>384</v>
      </c>
      <c r="C1620" s="8" t="s">
        <v>221</v>
      </c>
      <c r="D1620" s="1" t="s">
        <v>224</v>
      </c>
      <c r="E1620" s="115">
        <v>240</v>
      </c>
      <c r="F1620" s="7">
        <f>F1621</f>
        <v>10</v>
      </c>
      <c r="G1620" s="7">
        <f>G1621</f>
        <v>0</v>
      </c>
      <c r="H1620" s="36">
        <f t="shared" si="346"/>
        <v>10</v>
      </c>
      <c r="I1620" s="7">
        <f>I1621</f>
        <v>0</v>
      </c>
      <c r="J1620" s="36">
        <f t="shared" si="344"/>
        <v>10</v>
      </c>
      <c r="K1620" s="7">
        <f>K1621</f>
        <v>0</v>
      </c>
      <c r="L1620" s="36">
        <f t="shared" si="341"/>
        <v>10</v>
      </c>
      <c r="M1620" s="7">
        <f>M1621</f>
        <v>0</v>
      </c>
      <c r="N1620" s="36">
        <f t="shared" si="339"/>
        <v>10</v>
      </c>
      <c r="O1620" s="7">
        <f>O1621</f>
        <v>0</v>
      </c>
      <c r="P1620" s="36">
        <f t="shared" si="345"/>
        <v>10</v>
      </c>
      <c r="Q1620" s="7">
        <f>Q1621</f>
        <v>0</v>
      </c>
      <c r="R1620" s="36">
        <f t="shared" si="343"/>
        <v>10</v>
      </c>
    </row>
    <row r="1621" spans="1:18" ht="33">
      <c r="A1621" s="62" t="str">
        <f ca="1">IF(ISERROR(MATCH(E1621,Код_КВР,0)),"",INDIRECT(ADDRESS(MATCH(E1621,Код_КВР,0)+1,2,,,"КВР")))</f>
        <v xml:space="preserve">Прочая закупка товаров, работ и услуг для обеспечения муниципальных нужд         </v>
      </c>
      <c r="B1621" s="116" t="s">
        <v>384</v>
      </c>
      <c r="C1621" s="8" t="s">
        <v>221</v>
      </c>
      <c r="D1621" s="1" t="s">
        <v>224</v>
      </c>
      <c r="E1621" s="115">
        <v>244</v>
      </c>
      <c r="F1621" s="7">
        <f>'прил.5'!G48</f>
        <v>10</v>
      </c>
      <c r="G1621" s="7">
        <f>'прил.5'!H48</f>
        <v>0</v>
      </c>
      <c r="H1621" s="36">
        <f t="shared" si="346"/>
        <v>10</v>
      </c>
      <c r="I1621" s="7">
        <f>'прил.5'!J48</f>
        <v>0</v>
      </c>
      <c r="J1621" s="36">
        <f t="shared" si="344"/>
        <v>10</v>
      </c>
      <c r="K1621" s="7">
        <f>'прил.5'!L48</f>
        <v>0</v>
      </c>
      <c r="L1621" s="36">
        <f t="shared" si="341"/>
        <v>10</v>
      </c>
      <c r="M1621" s="7">
        <f>'прил.5'!N48</f>
        <v>0</v>
      </c>
      <c r="N1621" s="36">
        <f t="shared" si="339"/>
        <v>10</v>
      </c>
      <c r="O1621" s="7">
        <f>'прил.5'!P48</f>
        <v>0</v>
      </c>
      <c r="P1621" s="36">
        <f t="shared" si="345"/>
        <v>10</v>
      </c>
      <c r="Q1621" s="7">
        <f>'прил.5'!R48</f>
        <v>0</v>
      </c>
      <c r="R1621" s="36">
        <f t="shared" si="343"/>
        <v>10</v>
      </c>
    </row>
    <row r="1622" spans="1:18" ht="121.5" customHeight="1">
      <c r="A1622" s="62" t="str">
        <f ca="1">IF(ISERROR(MATCH(B1622,Код_КЦСР,0)),"",INDIRECT(ADDRESS(MATCH(B1622,Код_КЦСР,0)+1,2,,,"КЦСР")))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622" s="116" t="s">
        <v>385</v>
      </c>
      <c r="C1622" s="8"/>
      <c r="D1622" s="1"/>
      <c r="E1622" s="115"/>
      <c r="F1622" s="7">
        <f aca="true" t="shared" si="347" ref="F1622:Q1625">F1623</f>
        <v>495</v>
      </c>
      <c r="G1622" s="7">
        <f t="shared" si="347"/>
        <v>0</v>
      </c>
      <c r="H1622" s="36">
        <f t="shared" si="346"/>
        <v>495</v>
      </c>
      <c r="I1622" s="7">
        <f t="shared" si="347"/>
        <v>0</v>
      </c>
      <c r="J1622" s="36">
        <f t="shared" si="344"/>
        <v>495</v>
      </c>
      <c r="K1622" s="7">
        <f t="shared" si="347"/>
        <v>0</v>
      </c>
      <c r="L1622" s="36">
        <f t="shared" si="341"/>
        <v>495</v>
      </c>
      <c r="M1622" s="7">
        <f t="shared" si="347"/>
        <v>0</v>
      </c>
      <c r="N1622" s="36">
        <f t="shared" si="339"/>
        <v>495</v>
      </c>
      <c r="O1622" s="7">
        <f t="shared" si="347"/>
        <v>0</v>
      </c>
      <c r="P1622" s="36">
        <f t="shared" si="345"/>
        <v>495</v>
      </c>
      <c r="Q1622" s="7">
        <f t="shared" si="347"/>
        <v>0</v>
      </c>
      <c r="R1622" s="36">
        <f t="shared" si="343"/>
        <v>495</v>
      </c>
    </row>
    <row r="1623" spans="1:18" ht="12.75">
      <c r="A1623" s="62" t="str">
        <f ca="1">IF(ISERROR(MATCH(C1623,Код_Раздел,0)),"",INDIRECT(ADDRESS(MATCH(C1623,Код_Раздел,0)+1,2,,,"Раздел")))</f>
        <v>Общегосударственные  вопросы</v>
      </c>
      <c r="B1623" s="116" t="s">
        <v>385</v>
      </c>
      <c r="C1623" s="8" t="s">
        <v>221</v>
      </c>
      <c r="D1623" s="1"/>
      <c r="E1623" s="115"/>
      <c r="F1623" s="7">
        <f t="shared" si="347"/>
        <v>495</v>
      </c>
      <c r="G1623" s="7">
        <f t="shared" si="347"/>
        <v>0</v>
      </c>
      <c r="H1623" s="36">
        <f t="shared" si="346"/>
        <v>495</v>
      </c>
      <c r="I1623" s="7">
        <f t="shared" si="347"/>
        <v>0</v>
      </c>
      <c r="J1623" s="36">
        <f t="shared" si="344"/>
        <v>495</v>
      </c>
      <c r="K1623" s="7">
        <f t="shared" si="347"/>
        <v>0</v>
      </c>
      <c r="L1623" s="36">
        <f t="shared" si="341"/>
        <v>495</v>
      </c>
      <c r="M1623" s="7">
        <f t="shared" si="347"/>
        <v>0</v>
      </c>
      <c r="N1623" s="36">
        <f t="shared" si="339"/>
        <v>495</v>
      </c>
      <c r="O1623" s="7">
        <f t="shared" si="347"/>
        <v>0</v>
      </c>
      <c r="P1623" s="36">
        <f t="shared" si="345"/>
        <v>495</v>
      </c>
      <c r="Q1623" s="7">
        <f t="shared" si="347"/>
        <v>0</v>
      </c>
      <c r="R1623" s="36">
        <f t="shared" si="343"/>
        <v>495</v>
      </c>
    </row>
    <row r="1624" spans="1:18" ht="49.5">
      <c r="A1624" s="78" t="s">
        <v>243</v>
      </c>
      <c r="B1624" s="116" t="s">
        <v>385</v>
      </c>
      <c r="C1624" s="8" t="s">
        <v>221</v>
      </c>
      <c r="D1624" s="1" t="s">
        <v>224</v>
      </c>
      <c r="E1624" s="115"/>
      <c r="F1624" s="7">
        <f t="shared" si="347"/>
        <v>495</v>
      </c>
      <c r="G1624" s="7">
        <f t="shared" si="347"/>
        <v>0</v>
      </c>
      <c r="H1624" s="36">
        <f t="shared" si="346"/>
        <v>495</v>
      </c>
      <c r="I1624" s="7">
        <f t="shared" si="347"/>
        <v>0</v>
      </c>
      <c r="J1624" s="36">
        <f t="shared" si="344"/>
        <v>495</v>
      </c>
      <c r="K1624" s="7">
        <f t="shared" si="347"/>
        <v>0</v>
      </c>
      <c r="L1624" s="36">
        <f t="shared" si="341"/>
        <v>495</v>
      </c>
      <c r="M1624" s="7">
        <f t="shared" si="347"/>
        <v>0</v>
      </c>
      <c r="N1624" s="36">
        <f t="shared" si="339"/>
        <v>495</v>
      </c>
      <c r="O1624" s="7">
        <f t="shared" si="347"/>
        <v>0</v>
      </c>
      <c r="P1624" s="36">
        <f t="shared" si="345"/>
        <v>495</v>
      </c>
      <c r="Q1624" s="7">
        <f t="shared" si="347"/>
        <v>0</v>
      </c>
      <c r="R1624" s="36">
        <f t="shared" si="343"/>
        <v>495</v>
      </c>
    </row>
    <row r="1625" spans="1:18" ht="39" customHeight="1">
      <c r="A1625" s="62" t="str">
        <f ca="1">IF(ISERROR(MATCH(E1625,Код_КВР,0)),"",INDIRECT(ADDRESS(MATCH(E1625,Код_КВР,0)+1,2,,,"КВР")))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25" s="116" t="s">
        <v>385</v>
      </c>
      <c r="C1625" s="8" t="s">
        <v>221</v>
      </c>
      <c r="D1625" s="1" t="s">
        <v>224</v>
      </c>
      <c r="E1625" s="115">
        <v>100</v>
      </c>
      <c r="F1625" s="7">
        <f t="shared" si="347"/>
        <v>495</v>
      </c>
      <c r="G1625" s="7">
        <f t="shared" si="347"/>
        <v>0</v>
      </c>
      <c r="H1625" s="36">
        <f t="shared" si="346"/>
        <v>495</v>
      </c>
      <c r="I1625" s="7">
        <f t="shared" si="347"/>
        <v>0</v>
      </c>
      <c r="J1625" s="36">
        <f t="shared" si="344"/>
        <v>495</v>
      </c>
      <c r="K1625" s="7">
        <f t="shared" si="347"/>
        <v>0</v>
      </c>
      <c r="L1625" s="36">
        <f t="shared" si="341"/>
        <v>495</v>
      </c>
      <c r="M1625" s="7">
        <f t="shared" si="347"/>
        <v>0</v>
      </c>
      <c r="N1625" s="36">
        <f t="shared" si="339"/>
        <v>495</v>
      </c>
      <c r="O1625" s="7">
        <f t="shared" si="347"/>
        <v>0</v>
      </c>
      <c r="P1625" s="36">
        <f t="shared" si="345"/>
        <v>495</v>
      </c>
      <c r="Q1625" s="7">
        <f t="shared" si="347"/>
        <v>0</v>
      </c>
      <c r="R1625" s="36">
        <f t="shared" si="343"/>
        <v>495</v>
      </c>
    </row>
    <row r="1626" spans="1:18" ht="12.75">
      <c r="A1626" s="62" t="str">
        <f ca="1">IF(ISERROR(MATCH(E1626,Код_КВР,0)),"",INDIRECT(ADDRESS(MATCH(E1626,Код_КВР,0)+1,2,,,"КВР")))</f>
        <v>Расходы на выплаты персоналу муниципальных органов</v>
      </c>
      <c r="B1626" s="116" t="s">
        <v>385</v>
      </c>
      <c r="C1626" s="8" t="s">
        <v>221</v>
      </c>
      <c r="D1626" s="1" t="s">
        <v>224</v>
      </c>
      <c r="E1626" s="115">
        <v>120</v>
      </c>
      <c r="F1626" s="7">
        <f>'прил.5'!G51</f>
        <v>495</v>
      </c>
      <c r="G1626" s="7">
        <f>'прил.5'!H51</f>
        <v>0</v>
      </c>
      <c r="H1626" s="36">
        <f t="shared" si="346"/>
        <v>495</v>
      </c>
      <c r="I1626" s="7">
        <f>'прил.5'!J51</f>
        <v>0</v>
      </c>
      <c r="J1626" s="36">
        <f t="shared" si="344"/>
        <v>495</v>
      </c>
      <c r="K1626" s="7">
        <f>'прил.5'!L51</f>
        <v>0</v>
      </c>
      <c r="L1626" s="36">
        <f t="shared" si="341"/>
        <v>495</v>
      </c>
      <c r="M1626" s="7">
        <f>'прил.5'!N51</f>
        <v>0</v>
      </c>
      <c r="N1626" s="36">
        <f t="shared" si="339"/>
        <v>495</v>
      </c>
      <c r="O1626" s="7">
        <f>'прил.5'!P51</f>
        <v>0</v>
      </c>
      <c r="P1626" s="36">
        <f t="shared" si="345"/>
        <v>495</v>
      </c>
      <c r="Q1626" s="7">
        <f>'прил.5'!R51</f>
        <v>0</v>
      </c>
      <c r="R1626" s="36">
        <f t="shared" si="343"/>
        <v>495</v>
      </c>
    </row>
    <row r="1627" spans="1:18" ht="169.5" customHeight="1">
      <c r="A1627" s="62" t="str">
        <f ca="1">IF(ISERROR(MATCH(B1627,Код_КЦСР,0)),"",INDIRECT(ADDRESS(MATCH(B1627,Код_КЦСР,0)+1,2,,,"КЦСР")))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627" s="116" t="s">
        <v>386</v>
      </c>
      <c r="C1627" s="8"/>
      <c r="D1627" s="1"/>
      <c r="E1627" s="115"/>
      <c r="F1627" s="7">
        <f aca="true" t="shared" si="348" ref="F1627:Q1630">F1628</f>
        <v>0.7</v>
      </c>
      <c r="G1627" s="7">
        <f t="shared" si="348"/>
        <v>0</v>
      </c>
      <c r="H1627" s="36">
        <f t="shared" si="346"/>
        <v>0.7</v>
      </c>
      <c r="I1627" s="7">
        <f t="shared" si="348"/>
        <v>0</v>
      </c>
      <c r="J1627" s="36">
        <f t="shared" si="344"/>
        <v>0.7</v>
      </c>
      <c r="K1627" s="7">
        <f t="shared" si="348"/>
        <v>0</v>
      </c>
      <c r="L1627" s="36">
        <f t="shared" si="341"/>
        <v>0.7</v>
      </c>
      <c r="M1627" s="7">
        <f t="shared" si="348"/>
        <v>0</v>
      </c>
      <c r="N1627" s="36">
        <f t="shared" si="339"/>
        <v>0.7</v>
      </c>
      <c r="O1627" s="7">
        <f t="shared" si="348"/>
        <v>0</v>
      </c>
      <c r="P1627" s="36">
        <f t="shared" si="345"/>
        <v>0.7</v>
      </c>
      <c r="Q1627" s="7">
        <f t="shared" si="348"/>
        <v>0</v>
      </c>
      <c r="R1627" s="36">
        <f t="shared" si="343"/>
        <v>0.7</v>
      </c>
    </row>
    <row r="1628" spans="1:18" ht="12.75">
      <c r="A1628" s="62" t="str">
        <f ca="1">IF(ISERROR(MATCH(C1628,Код_Раздел,0)),"",INDIRECT(ADDRESS(MATCH(C1628,Код_Раздел,0)+1,2,,,"Раздел")))</f>
        <v>Общегосударственные  вопросы</v>
      </c>
      <c r="B1628" s="116" t="s">
        <v>386</v>
      </c>
      <c r="C1628" s="8" t="s">
        <v>221</v>
      </c>
      <c r="D1628" s="1"/>
      <c r="E1628" s="115"/>
      <c r="F1628" s="7">
        <f t="shared" si="348"/>
        <v>0.7</v>
      </c>
      <c r="G1628" s="7">
        <f t="shared" si="348"/>
        <v>0</v>
      </c>
      <c r="H1628" s="36">
        <f t="shared" si="346"/>
        <v>0.7</v>
      </c>
      <c r="I1628" s="7">
        <f t="shared" si="348"/>
        <v>0</v>
      </c>
      <c r="J1628" s="36">
        <f t="shared" si="344"/>
        <v>0.7</v>
      </c>
      <c r="K1628" s="7">
        <f t="shared" si="348"/>
        <v>0</v>
      </c>
      <c r="L1628" s="36">
        <f t="shared" si="341"/>
        <v>0.7</v>
      </c>
      <c r="M1628" s="7">
        <f t="shared" si="348"/>
        <v>0</v>
      </c>
      <c r="N1628" s="36">
        <f t="shared" si="339"/>
        <v>0.7</v>
      </c>
      <c r="O1628" s="7">
        <f t="shared" si="348"/>
        <v>0</v>
      </c>
      <c r="P1628" s="36">
        <f t="shared" si="345"/>
        <v>0.7</v>
      </c>
      <c r="Q1628" s="7">
        <f t="shared" si="348"/>
        <v>0</v>
      </c>
      <c r="R1628" s="36">
        <f t="shared" si="343"/>
        <v>0.7</v>
      </c>
    </row>
    <row r="1629" spans="1:18" ht="49.5">
      <c r="A1629" s="78" t="s">
        <v>243</v>
      </c>
      <c r="B1629" s="116" t="s">
        <v>386</v>
      </c>
      <c r="C1629" s="8" t="s">
        <v>221</v>
      </c>
      <c r="D1629" s="1" t="s">
        <v>224</v>
      </c>
      <c r="E1629" s="115"/>
      <c r="F1629" s="7">
        <f t="shared" si="348"/>
        <v>0.7</v>
      </c>
      <c r="G1629" s="7">
        <f t="shared" si="348"/>
        <v>0</v>
      </c>
      <c r="H1629" s="36">
        <f t="shared" si="346"/>
        <v>0.7</v>
      </c>
      <c r="I1629" s="7">
        <f t="shared" si="348"/>
        <v>0</v>
      </c>
      <c r="J1629" s="36">
        <f t="shared" si="344"/>
        <v>0.7</v>
      </c>
      <c r="K1629" s="7">
        <f t="shared" si="348"/>
        <v>0</v>
      </c>
      <c r="L1629" s="36">
        <f t="shared" si="341"/>
        <v>0.7</v>
      </c>
      <c r="M1629" s="7">
        <f t="shared" si="348"/>
        <v>0</v>
      </c>
      <c r="N1629" s="36">
        <f t="shared" si="339"/>
        <v>0.7</v>
      </c>
      <c r="O1629" s="7">
        <f t="shared" si="348"/>
        <v>0</v>
      </c>
      <c r="P1629" s="36">
        <f t="shared" si="345"/>
        <v>0.7</v>
      </c>
      <c r="Q1629" s="7">
        <f t="shared" si="348"/>
        <v>0</v>
      </c>
      <c r="R1629" s="36">
        <f t="shared" si="343"/>
        <v>0.7</v>
      </c>
    </row>
    <row r="1630" spans="1:18" ht="33">
      <c r="A1630" s="62" t="str">
        <f ca="1">IF(ISERROR(MATCH(E1630,Код_КВР,0)),"",INDIRECT(ADDRESS(MATCH(E1630,Код_КВР,0)+1,2,,,"КВР")))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30" s="116" t="s">
        <v>386</v>
      </c>
      <c r="C1630" s="8" t="s">
        <v>221</v>
      </c>
      <c r="D1630" s="1" t="s">
        <v>224</v>
      </c>
      <c r="E1630" s="115">
        <v>100</v>
      </c>
      <c r="F1630" s="7">
        <f t="shared" si="348"/>
        <v>0.7</v>
      </c>
      <c r="G1630" s="7">
        <f t="shared" si="348"/>
        <v>0</v>
      </c>
      <c r="H1630" s="36">
        <f t="shared" si="346"/>
        <v>0.7</v>
      </c>
      <c r="I1630" s="7">
        <f t="shared" si="348"/>
        <v>0</v>
      </c>
      <c r="J1630" s="36">
        <f t="shared" si="344"/>
        <v>0.7</v>
      </c>
      <c r="K1630" s="7">
        <f t="shared" si="348"/>
        <v>0</v>
      </c>
      <c r="L1630" s="36">
        <f t="shared" si="341"/>
        <v>0.7</v>
      </c>
      <c r="M1630" s="7">
        <f t="shared" si="348"/>
        <v>0</v>
      </c>
      <c r="N1630" s="36">
        <f t="shared" si="339"/>
        <v>0.7</v>
      </c>
      <c r="O1630" s="7">
        <f t="shared" si="348"/>
        <v>0</v>
      </c>
      <c r="P1630" s="36">
        <f t="shared" si="345"/>
        <v>0.7</v>
      </c>
      <c r="Q1630" s="7">
        <f t="shared" si="348"/>
        <v>0</v>
      </c>
      <c r="R1630" s="36">
        <f t="shared" si="343"/>
        <v>0.7</v>
      </c>
    </row>
    <row r="1631" spans="1:18" ht="12.75">
      <c r="A1631" s="62" t="str">
        <f ca="1">IF(ISERROR(MATCH(E1631,Код_КВР,0)),"",INDIRECT(ADDRESS(MATCH(E1631,Код_КВР,0)+1,2,,,"КВР")))</f>
        <v>Расходы на выплаты персоналу муниципальных органов</v>
      </c>
      <c r="B1631" s="116" t="s">
        <v>386</v>
      </c>
      <c r="C1631" s="8" t="s">
        <v>221</v>
      </c>
      <c r="D1631" s="1" t="s">
        <v>224</v>
      </c>
      <c r="E1631" s="115">
        <v>120</v>
      </c>
      <c r="F1631" s="7">
        <f>'прил.5'!G55</f>
        <v>0.7</v>
      </c>
      <c r="G1631" s="7">
        <f>'прил.5'!H55</f>
        <v>0</v>
      </c>
      <c r="H1631" s="36">
        <f t="shared" si="346"/>
        <v>0.7</v>
      </c>
      <c r="I1631" s="7">
        <f>'прил.5'!J55</f>
        <v>0</v>
      </c>
      <c r="J1631" s="36">
        <f t="shared" si="344"/>
        <v>0.7</v>
      </c>
      <c r="K1631" s="7">
        <f>'прил.5'!L55</f>
        <v>0</v>
      </c>
      <c r="L1631" s="36">
        <f t="shared" si="341"/>
        <v>0.7</v>
      </c>
      <c r="M1631" s="7">
        <f>'прил.5'!N55</f>
        <v>0</v>
      </c>
      <c r="N1631" s="36">
        <f t="shared" si="339"/>
        <v>0.7</v>
      </c>
      <c r="O1631" s="7">
        <f>'прил.5'!P55</f>
        <v>0</v>
      </c>
      <c r="P1631" s="36">
        <f t="shared" si="345"/>
        <v>0.7</v>
      </c>
      <c r="Q1631" s="7">
        <f>'прил.5'!R55</f>
        <v>0</v>
      </c>
      <c r="R1631" s="36">
        <f t="shared" si="343"/>
        <v>0.7</v>
      </c>
    </row>
    <row r="1632" spans="1:18" ht="99">
      <c r="A1632" s="62" t="str">
        <f ca="1">IF(ISERROR(MATCH(B1632,Код_КЦСР,0)),"",INDIRECT(ADDRESS(MATCH(B1632,Код_КЦСР,0)+1,2,,,"КЦСР")))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632" s="116" t="s">
        <v>411</v>
      </c>
      <c r="C1632" s="8"/>
      <c r="D1632" s="1"/>
      <c r="E1632" s="115"/>
      <c r="F1632" s="7">
        <f>F1637</f>
        <v>902.7</v>
      </c>
      <c r="G1632" s="7">
        <f>G1637</f>
        <v>0</v>
      </c>
      <c r="H1632" s="36">
        <f t="shared" si="346"/>
        <v>902.7</v>
      </c>
      <c r="I1632" s="7">
        <f>I1637</f>
        <v>0</v>
      </c>
      <c r="J1632" s="36">
        <f t="shared" si="344"/>
        <v>902.7</v>
      </c>
      <c r="K1632" s="7">
        <f>K1637</f>
        <v>0</v>
      </c>
      <c r="L1632" s="36">
        <f t="shared" si="341"/>
        <v>902.7</v>
      </c>
      <c r="M1632" s="7">
        <f>M1637</f>
        <v>0</v>
      </c>
      <c r="N1632" s="36">
        <f t="shared" si="339"/>
        <v>902.7</v>
      </c>
      <c r="O1632" s="7">
        <f>O1637</f>
        <v>0</v>
      </c>
      <c r="P1632" s="36">
        <f t="shared" si="345"/>
        <v>902.7</v>
      </c>
      <c r="Q1632" s="7">
        <f>Q1637+Q1633</f>
        <v>0</v>
      </c>
      <c r="R1632" s="36">
        <f t="shared" si="343"/>
        <v>902.7</v>
      </c>
    </row>
    <row r="1633" spans="1:18" ht="24.75" customHeight="1">
      <c r="A1633" s="62" t="str">
        <f ca="1">IF(ISERROR(MATCH(C1633,Код_Раздел,0)),"",INDIRECT(ADDRESS(MATCH(C1633,Код_Раздел,0)+1,2,,,"Раздел")))</f>
        <v>Общегосударственные  вопросы</v>
      </c>
      <c r="B1633" s="126" t="s">
        <v>411</v>
      </c>
      <c r="C1633" s="8" t="s">
        <v>221</v>
      </c>
      <c r="D1633" s="1"/>
      <c r="E1633" s="127"/>
      <c r="F1633" s="7"/>
      <c r="G1633" s="7"/>
      <c r="H1633" s="36"/>
      <c r="I1633" s="7"/>
      <c r="J1633" s="36"/>
      <c r="K1633" s="7"/>
      <c r="L1633" s="36"/>
      <c r="M1633" s="7"/>
      <c r="N1633" s="36"/>
      <c r="O1633" s="7"/>
      <c r="P1633" s="36"/>
      <c r="Q1633" s="7">
        <f>Q1634</f>
        <v>676.7</v>
      </c>
      <c r="R1633" s="36">
        <f t="shared" si="343"/>
        <v>676.7</v>
      </c>
    </row>
    <row r="1634" spans="1:18" ht="67.5" customHeight="1">
      <c r="A1634" s="78" t="s">
        <v>243</v>
      </c>
      <c r="B1634" s="126" t="s">
        <v>411</v>
      </c>
      <c r="C1634" s="8" t="s">
        <v>221</v>
      </c>
      <c r="D1634" s="1" t="s">
        <v>224</v>
      </c>
      <c r="E1634" s="127"/>
      <c r="F1634" s="7"/>
      <c r="G1634" s="7"/>
      <c r="H1634" s="36"/>
      <c r="I1634" s="7"/>
      <c r="J1634" s="36"/>
      <c r="K1634" s="7"/>
      <c r="L1634" s="36"/>
      <c r="M1634" s="7"/>
      <c r="N1634" s="36"/>
      <c r="O1634" s="7"/>
      <c r="P1634" s="36"/>
      <c r="Q1634" s="7">
        <f>Q1635</f>
        <v>676.7</v>
      </c>
      <c r="R1634" s="36">
        <f t="shared" si="343"/>
        <v>676.7</v>
      </c>
    </row>
    <row r="1635" spans="1:18" ht="33">
      <c r="A1635" s="62" t="str">
        <f ca="1">IF(ISERROR(MATCH(E1635,Код_КВР,0)),"",INDIRECT(ADDRESS(MATCH(E1635,Код_КВР,0)+1,2,,,"КВР")))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35" s="126" t="s">
        <v>411</v>
      </c>
      <c r="C1635" s="8" t="s">
        <v>221</v>
      </c>
      <c r="D1635" s="1" t="s">
        <v>224</v>
      </c>
      <c r="E1635" s="127">
        <v>100</v>
      </c>
      <c r="F1635" s="7"/>
      <c r="G1635" s="7"/>
      <c r="H1635" s="36"/>
      <c r="I1635" s="7"/>
      <c r="J1635" s="36"/>
      <c r="K1635" s="7"/>
      <c r="L1635" s="36"/>
      <c r="M1635" s="7"/>
      <c r="N1635" s="36"/>
      <c r="O1635" s="7"/>
      <c r="P1635" s="36"/>
      <c r="Q1635" s="7">
        <f>Q1636</f>
        <v>676.7</v>
      </c>
      <c r="R1635" s="36">
        <f t="shared" si="343"/>
        <v>676.7</v>
      </c>
    </row>
    <row r="1636" spans="1:18" ht="12.75">
      <c r="A1636" s="62" t="str">
        <f ca="1">IF(ISERROR(MATCH(E1636,Код_КВР,0)),"",INDIRECT(ADDRESS(MATCH(E1636,Код_КВР,0)+1,2,,,"КВР")))</f>
        <v>Расходы на выплаты персоналу муниципальных органов</v>
      </c>
      <c r="B1636" s="126" t="s">
        <v>411</v>
      </c>
      <c r="C1636" s="8" t="s">
        <v>221</v>
      </c>
      <c r="D1636" s="1" t="s">
        <v>224</v>
      </c>
      <c r="E1636" s="127">
        <v>120</v>
      </c>
      <c r="F1636" s="7"/>
      <c r="G1636" s="7"/>
      <c r="H1636" s="36"/>
      <c r="I1636" s="7"/>
      <c r="J1636" s="36"/>
      <c r="K1636" s="7"/>
      <c r="L1636" s="36"/>
      <c r="M1636" s="7"/>
      <c r="N1636" s="36"/>
      <c r="O1636" s="7"/>
      <c r="P1636" s="36"/>
      <c r="Q1636" s="7">
        <f>'прил.5'!R58</f>
        <v>676.7</v>
      </c>
      <c r="R1636" s="36">
        <f t="shared" si="343"/>
        <v>676.7</v>
      </c>
    </row>
    <row r="1637" spans="1:18" ht="12.75">
      <c r="A1637" s="62" t="str">
        <f ca="1">IF(ISERROR(MATCH(C1637,Код_Раздел,0)),"",INDIRECT(ADDRESS(MATCH(C1637,Код_Раздел,0)+1,2,,,"Раздел")))</f>
        <v>Социальная политика</v>
      </c>
      <c r="B1637" s="116" t="s">
        <v>411</v>
      </c>
      <c r="C1637" s="8" t="s">
        <v>196</v>
      </c>
      <c r="D1637" s="1"/>
      <c r="E1637" s="115"/>
      <c r="F1637" s="7">
        <f>F1638</f>
        <v>902.7</v>
      </c>
      <c r="G1637" s="7">
        <f>G1638</f>
        <v>0</v>
      </c>
      <c r="H1637" s="36">
        <f t="shared" si="346"/>
        <v>902.7</v>
      </c>
      <c r="I1637" s="7">
        <f>I1638</f>
        <v>0</v>
      </c>
      <c r="J1637" s="36">
        <f t="shared" si="344"/>
        <v>902.7</v>
      </c>
      <c r="K1637" s="7">
        <f>K1638</f>
        <v>0</v>
      </c>
      <c r="L1637" s="36">
        <f t="shared" si="341"/>
        <v>902.7</v>
      </c>
      <c r="M1637" s="7">
        <f>M1638</f>
        <v>0</v>
      </c>
      <c r="N1637" s="36">
        <f t="shared" si="339"/>
        <v>902.7</v>
      </c>
      <c r="O1637" s="7">
        <f>O1638</f>
        <v>0</v>
      </c>
      <c r="P1637" s="36">
        <f t="shared" si="345"/>
        <v>902.7</v>
      </c>
      <c r="Q1637" s="7">
        <f>Q1638</f>
        <v>-676.7</v>
      </c>
      <c r="R1637" s="36">
        <f t="shared" si="343"/>
        <v>226</v>
      </c>
    </row>
    <row r="1638" spans="1:18" ht="12.75">
      <c r="A1638" s="12" t="s">
        <v>197</v>
      </c>
      <c r="B1638" s="116" t="s">
        <v>411</v>
      </c>
      <c r="C1638" s="8" t="s">
        <v>196</v>
      </c>
      <c r="D1638" s="1" t="s">
        <v>225</v>
      </c>
      <c r="E1638" s="115"/>
      <c r="F1638" s="7">
        <f>F1639+F1641</f>
        <v>902.7</v>
      </c>
      <c r="G1638" s="7">
        <f>G1639+G1641</f>
        <v>0</v>
      </c>
      <c r="H1638" s="36">
        <f t="shared" si="346"/>
        <v>902.7</v>
      </c>
      <c r="I1638" s="7">
        <f>I1639+I1641</f>
        <v>0</v>
      </c>
      <c r="J1638" s="36">
        <f t="shared" si="344"/>
        <v>902.7</v>
      </c>
      <c r="K1638" s="7">
        <f>K1639+K1641</f>
        <v>0</v>
      </c>
      <c r="L1638" s="36">
        <f t="shared" si="341"/>
        <v>902.7</v>
      </c>
      <c r="M1638" s="7">
        <f>M1639+M1641</f>
        <v>0</v>
      </c>
      <c r="N1638" s="36">
        <f t="shared" si="339"/>
        <v>902.7</v>
      </c>
      <c r="O1638" s="7">
        <f>O1639+O1641</f>
        <v>0</v>
      </c>
      <c r="P1638" s="36">
        <f t="shared" si="345"/>
        <v>902.7</v>
      </c>
      <c r="Q1638" s="7">
        <f>Q1639+Q1641</f>
        <v>-676.7</v>
      </c>
      <c r="R1638" s="36">
        <f t="shared" si="343"/>
        <v>226</v>
      </c>
    </row>
    <row r="1639" spans="1:18" ht="33">
      <c r="A1639" s="62" t="str">
        <f ca="1">IF(ISERROR(MATCH(E1639,Код_КВР,0)),"",INDIRECT(ADDRESS(MATCH(E1639,Код_КВР,0)+1,2,,,"КВР")))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39" s="116" t="s">
        <v>411</v>
      </c>
      <c r="C1639" s="8" t="s">
        <v>196</v>
      </c>
      <c r="D1639" s="1" t="s">
        <v>225</v>
      </c>
      <c r="E1639" s="115">
        <v>100</v>
      </c>
      <c r="F1639" s="7">
        <f>F1640</f>
        <v>722.2</v>
      </c>
      <c r="G1639" s="7">
        <f>G1640</f>
        <v>0</v>
      </c>
      <c r="H1639" s="36">
        <f t="shared" si="346"/>
        <v>722.2</v>
      </c>
      <c r="I1639" s="7">
        <f>I1640</f>
        <v>0</v>
      </c>
      <c r="J1639" s="36">
        <f t="shared" si="344"/>
        <v>722.2</v>
      </c>
      <c r="K1639" s="7">
        <f>K1640</f>
        <v>0</v>
      </c>
      <c r="L1639" s="36">
        <f t="shared" si="341"/>
        <v>722.2</v>
      </c>
      <c r="M1639" s="7">
        <f>M1640</f>
        <v>0</v>
      </c>
      <c r="N1639" s="36">
        <f t="shared" si="339"/>
        <v>722.2</v>
      </c>
      <c r="O1639" s="7">
        <f>O1640</f>
        <v>0</v>
      </c>
      <c r="P1639" s="36">
        <f t="shared" si="345"/>
        <v>722.2</v>
      </c>
      <c r="Q1639" s="7">
        <f>Q1640</f>
        <v>-541.6</v>
      </c>
      <c r="R1639" s="36">
        <f t="shared" si="343"/>
        <v>180.60000000000002</v>
      </c>
    </row>
    <row r="1640" spans="1:18" ht="12.75">
      <c r="A1640" s="62" t="str">
        <f ca="1">IF(ISERROR(MATCH(E1640,Код_КВР,0)),"",INDIRECT(ADDRESS(MATCH(E1640,Код_КВР,0)+1,2,,,"КВР")))</f>
        <v>Расходы на выплаты персоналу муниципальных органов</v>
      </c>
      <c r="B1640" s="116" t="s">
        <v>411</v>
      </c>
      <c r="C1640" s="8" t="s">
        <v>196</v>
      </c>
      <c r="D1640" s="1" t="s">
        <v>225</v>
      </c>
      <c r="E1640" s="115">
        <v>120</v>
      </c>
      <c r="F1640" s="7">
        <f>'прил.5'!G1378</f>
        <v>722.2</v>
      </c>
      <c r="G1640" s="7">
        <f>'прил.5'!H1378</f>
        <v>0</v>
      </c>
      <c r="H1640" s="36">
        <f t="shared" si="346"/>
        <v>722.2</v>
      </c>
      <c r="I1640" s="7">
        <f>'прил.5'!J1378</f>
        <v>0</v>
      </c>
      <c r="J1640" s="36">
        <f t="shared" si="344"/>
        <v>722.2</v>
      </c>
      <c r="K1640" s="7">
        <f>'прил.5'!L1378</f>
        <v>0</v>
      </c>
      <c r="L1640" s="36">
        <f t="shared" si="341"/>
        <v>722.2</v>
      </c>
      <c r="M1640" s="7">
        <f>'прил.5'!N1378</f>
        <v>0</v>
      </c>
      <c r="N1640" s="36">
        <f t="shared" si="339"/>
        <v>722.2</v>
      </c>
      <c r="O1640" s="7">
        <f>'прил.5'!P1378</f>
        <v>0</v>
      </c>
      <c r="P1640" s="36">
        <f t="shared" si="345"/>
        <v>722.2</v>
      </c>
      <c r="Q1640" s="7">
        <f>'прил.5'!R1378</f>
        <v>-541.6</v>
      </c>
      <c r="R1640" s="36">
        <f t="shared" si="343"/>
        <v>180.60000000000002</v>
      </c>
    </row>
    <row r="1641" spans="1:18" ht="12.75">
      <c r="A1641" s="62" t="str">
        <f ca="1">IF(ISERROR(MATCH(E1641,Код_КВР,0)),"",INDIRECT(ADDRESS(MATCH(E1641,Код_КВР,0)+1,2,,,"КВР")))</f>
        <v>Закупка товаров, работ и услуг для муниципальных нужд</v>
      </c>
      <c r="B1641" s="116" t="s">
        <v>411</v>
      </c>
      <c r="C1641" s="8" t="s">
        <v>196</v>
      </c>
      <c r="D1641" s="1" t="s">
        <v>225</v>
      </c>
      <c r="E1641" s="115">
        <v>200</v>
      </c>
      <c r="F1641" s="7">
        <f>F1642</f>
        <v>180.5</v>
      </c>
      <c r="G1641" s="7">
        <f>G1642</f>
        <v>0</v>
      </c>
      <c r="H1641" s="36">
        <f t="shared" si="346"/>
        <v>180.5</v>
      </c>
      <c r="I1641" s="7">
        <f>I1642</f>
        <v>0</v>
      </c>
      <c r="J1641" s="36">
        <f t="shared" si="344"/>
        <v>180.5</v>
      </c>
      <c r="K1641" s="7">
        <f>K1642</f>
        <v>0</v>
      </c>
      <c r="L1641" s="36">
        <f t="shared" si="341"/>
        <v>180.5</v>
      </c>
      <c r="M1641" s="7">
        <f>M1642</f>
        <v>0</v>
      </c>
      <c r="N1641" s="36">
        <f aca="true" t="shared" si="349" ref="N1641:N1678">L1641+M1641</f>
        <v>180.5</v>
      </c>
      <c r="O1641" s="7">
        <f>O1642</f>
        <v>0</v>
      </c>
      <c r="P1641" s="36">
        <f t="shared" si="345"/>
        <v>180.5</v>
      </c>
      <c r="Q1641" s="7">
        <f>Q1642</f>
        <v>-135.1</v>
      </c>
      <c r="R1641" s="36">
        <f t="shared" si="343"/>
        <v>45.400000000000006</v>
      </c>
    </row>
    <row r="1642" spans="1:18" ht="33">
      <c r="A1642" s="62" t="str">
        <f ca="1">IF(ISERROR(MATCH(E1642,Код_КВР,0)),"",INDIRECT(ADDRESS(MATCH(E1642,Код_КВР,0)+1,2,,,"КВР")))</f>
        <v>Иные закупки товаров, работ и услуг для обеспечения муниципальных нужд</v>
      </c>
      <c r="B1642" s="116" t="s">
        <v>411</v>
      </c>
      <c r="C1642" s="8" t="s">
        <v>196</v>
      </c>
      <c r="D1642" s="1" t="s">
        <v>225</v>
      </c>
      <c r="E1642" s="115">
        <v>240</v>
      </c>
      <c r="F1642" s="7">
        <f>F1643</f>
        <v>180.5</v>
      </c>
      <c r="G1642" s="7">
        <f>G1643</f>
        <v>0</v>
      </c>
      <c r="H1642" s="36">
        <f t="shared" si="346"/>
        <v>180.5</v>
      </c>
      <c r="I1642" s="7">
        <f>I1643</f>
        <v>0</v>
      </c>
      <c r="J1642" s="36">
        <f t="shared" si="344"/>
        <v>180.5</v>
      </c>
      <c r="K1642" s="7">
        <f>K1643</f>
        <v>0</v>
      </c>
      <c r="L1642" s="36">
        <f t="shared" si="341"/>
        <v>180.5</v>
      </c>
      <c r="M1642" s="7">
        <f>M1643</f>
        <v>0</v>
      </c>
      <c r="N1642" s="36">
        <f t="shared" si="349"/>
        <v>180.5</v>
      </c>
      <c r="O1642" s="7">
        <f>O1643</f>
        <v>0</v>
      </c>
      <c r="P1642" s="36">
        <f t="shared" si="345"/>
        <v>180.5</v>
      </c>
      <c r="Q1642" s="7">
        <f>Q1643</f>
        <v>-135.1</v>
      </c>
      <c r="R1642" s="36">
        <f t="shared" si="343"/>
        <v>45.400000000000006</v>
      </c>
    </row>
    <row r="1643" spans="1:18" ht="36.75" customHeight="1">
      <c r="A1643" s="62" t="str">
        <f ca="1">IF(ISERROR(MATCH(E1643,Код_КВР,0)),"",INDIRECT(ADDRESS(MATCH(E1643,Код_КВР,0)+1,2,,,"КВР")))</f>
        <v xml:space="preserve">Прочая закупка товаров, работ и услуг для обеспечения муниципальных нужд         </v>
      </c>
      <c r="B1643" s="116" t="s">
        <v>411</v>
      </c>
      <c r="C1643" s="8" t="s">
        <v>196</v>
      </c>
      <c r="D1643" s="1" t="s">
        <v>225</v>
      </c>
      <c r="E1643" s="115">
        <v>244</v>
      </c>
      <c r="F1643" s="7">
        <f>'прил.5'!G1381</f>
        <v>180.5</v>
      </c>
      <c r="G1643" s="7">
        <f>'прил.5'!H1381</f>
        <v>0</v>
      </c>
      <c r="H1643" s="36">
        <f t="shared" si="346"/>
        <v>180.5</v>
      </c>
      <c r="I1643" s="7">
        <f>'прил.5'!J1381</f>
        <v>0</v>
      </c>
      <c r="J1643" s="36">
        <f t="shared" si="344"/>
        <v>180.5</v>
      </c>
      <c r="K1643" s="7">
        <f>'прил.5'!L1381</f>
        <v>0</v>
      </c>
      <c r="L1643" s="36">
        <f t="shared" si="341"/>
        <v>180.5</v>
      </c>
      <c r="M1643" s="7">
        <f>'прил.5'!N1381</f>
        <v>0</v>
      </c>
      <c r="N1643" s="36">
        <f t="shared" si="349"/>
        <v>180.5</v>
      </c>
      <c r="O1643" s="7">
        <f>'прил.5'!P1381</f>
        <v>0</v>
      </c>
      <c r="P1643" s="36">
        <f t="shared" si="345"/>
        <v>180.5</v>
      </c>
      <c r="Q1643" s="7">
        <f>'прил.5'!R1381</f>
        <v>-135.1</v>
      </c>
      <c r="R1643" s="36">
        <f t="shared" si="343"/>
        <v>45.400000000000006</v>
      </c>
    </row>
    <row r="1644" spans="1:18" ht="84.75" customHeight="1">
      <c r="A1644" s="62" t="str">
        <f ca="1">IF(ISERROR(MATCH(B1644,Код_КЦСР,0)),"",INDIRECT(ADDRESS(MATCH(B1644,Код_КЦСР,0)+1,2,,,"КЦСР")))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644" s="116" t="s">
        <v>415</v>
      </c>
      <c r="C1644" s="8"/>
      <c r="D1644" s="1"/>
      <c r="E1644" s="115"/>
      <c r="F1644" s="7">
        <f>F1645</f>
        <v>1703.5</v>
      </c>
      <c r="G1644" s="7">
        <f>G1645</f>
        <v>0</v>
      </c>
      <c r="H1644" s="36">
        <f t="shared" si="346"/>
        <v>1703.5</v>
      </c>
      <c r="I1644" s="7">
        <f>I1645</f>
        <v>0</v>
      </c>
      <c r="J1644" s="36">
        <f t="shared" si="344"/>
        <v>1703.5</v>
      </c>
      <c r="K1644" s="7">
        <f>K1645</f>
        <v>0</v>
      </c>
      <c r="L1644" s="36">
        <f t="shared" si="341"/>
        <v>1703.5</v>
      </c>
      <c r="M1644" s="7">
        <f>M1645</f>
        <v>0</v>
      </c>
      <c r="N1644" s="36">
        <f t="shared" si="349"/>
        <v>1703.5</v>
      </c>
      <c r="O1644" s="7">
        <f>O1645</f>
        <v>0</v>
      </c>
      <c r="P1644" s="36">
        <f t="shared" si="345"/>
        <v>1703.5</v>
      </c>
      <c r="Q1644" s="7">
        <f>Q1645</f>
        <v>0</v>
      </c>
      <c r="R1644" s="36">
        <f t="shared" si="343"/>
        <v>1703.5</v>
      </c>
    </row>
    <row r="1645" spans="1:18" ht="12.75">
      <c r="A1645" s="62" t="str">
        <f ca="1">IF(ISERROR(MATCH(C1645,Код_Раздел,0)),"",INDIRECT(ADDRESS(MATCH(C1645,Код_Раздел,0)+1,2,,,"Раздел")))</f>
        <v>Охрана окружающей среды</v>
      </c>
      <c r="B1645" s="116" t="s">
        <v>415</v>
      </c>
      <c r="C1645" s="8" t="s">
        <v>225</v>
      </c>
      <c r="D1645" s="1"/>
      <c r="E1645" s="115"/>
      <c r="F1645" s="7">
        <f>F1646</f>
        <v>1703.5</v>
      </c>
      <c r="G1645" s="7">
        <f>G1646</f>
        <v>0</v>
      </c>
      <c r="H1645" s="36">
        <f t="shared" si="346"/>
        <v>1703.5</v>
      </c>
      <c r="I1645" s="7">
        <f>I1646</f>
        <v>0</v>
      </c>
      <c r="J1645" s="36">
        <f t="shared" si="344"/>
        <v>1703.5</v>
      </c>
      <c r="K1645" s="7">
        <f>K1646</f>
        <v>0</v>
      </c>
      <c r="L1645" s="36">
        <f t="shared" si="341"/>
        <v>1703.5</v>
      </c>
      <c r="M1645" s="7">
        <f>M1646</f>
        <v>0</v>
      </c>
      <c r="N1645" s="36">
        <f t="shared" si="349"/>
        <v>1703.5</v>
      </c>
      <c r="O1645" s="7">
        <f>O1646</f>
        <v>0</v>
      </c>
      <c r="P1645" s="36">
        <f t="shared" si="345"/>
        <v>1703.5</v>
      </c>
      <c r="Q1645" s="7">
        <f>Q1646</f>
        <v>0</v>
      </c>
      <c r="R1645" s="36">
        <f t="shared" si="343"/>
        <v>1703.5</v>
      </c>
    </row>
    <row r="1646" spans="1:18" ht="35.25" customHeight="1">
      <c r="A1646" s="62" t="s">
        <v>168</v>
      </c>
      <c r="B1646" s="116" t="s">
        <v>415</v>
      </c>
      <c r="C1646" s="8" t="s">
        <v>225</v>
      </c>
      <c r="D1646" s="1" t="s">
        <v>223</v>
      </c>
      <c r="E1646" s="115"/>
      <c r="F1646" s="7">
        <f>F1647+F1649</f>
        <v>1703.5</v>
      </c>
      <c r="G1646" s="7">
        <f>G1647+G1649</f>
        <v>0</v>
      </c>
      <c r="H1646" s="36">
        <f t="shared" si="346"/>
        <v>1703.5</v>
      </c>
      <c r="I1646" s="7">
        <f>I1647+I1649</f>
        <v>0</v>
      </c>
      <c r="J1646" s="36">
        <f t="shared" si="344"/>
        <v>1703.5</v>
      </c>
      <c r="K1646" s="7">
        <f>K1647+K1649</f>
        <v>0</v>
      </c>
      <c r="L1646" s="36">
        <f t="shared" si="341"/>
        <v>1703.5</v>
      </c>
      <c r="M1646" s="7">
        <f>M1647+M1649</f>
        <v>0</v>
      </c>
      <c r="N1646" s="36">
        <f t="shared" si="349"/>
        <v>1703.5</v>
      </c>
      <c r="O1646" s="7">
        <f>O1647+O1649</f>
        <v>0</v>
      </c>
      <c r="P1646" s="36">
        <f t="shared" si="345"/>
        <v>1703.5</v>
      </c>
      <c r="Q1646" s="7">
        <f>Q1647+Q1649</f>
        <v>0</v>
      </c>
      <c r="R1646" s="36">
        <f t="shared" si="343"/>
        <v>1703.5</v>
      </c>
    </row>
    <row r="1647" spans="1:18" ht="36" customHeight="1">
      <c r="A1647" s="62" t="str">
        <f ca="1">IF(ISERROR(MATCH(E1647,Код_КВР,0)),"",INDIRECT(ADDRESS(MATCH(E1647,Код_КВР,0)+1,2,,,"КВР")))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47" s="116" t="s">
        <v>415</v>
      </c>
      <c r="C1647" s="8" t="s">
        <v>225</v>
      </c>
      <c r="D1647" s="1" t="s">
        <v>223</v>
      </c>
      <c r="E1647" s="115">
        <v>100</v>
      </c>
      <c r="F1647" s="7">
        <f>F1648</f>
        <v>1653.5</v>
      </c>
      <c r="G1647" s="7">
        <f>G1648</f>
        <v>0</v>
      </c>
      <c r="H1647" s="36">
        <f t="shared" si="346"/>
        <v>1653.5</v>
      </c>
      <c r="I1647" s="7">
        <f>I1648</f>
        <v>0</v>
      </c>
      <c r="J1647" s="36">
        <f t="shared" si="344"/>
        <v>1653.5</v>
      </c>
      <c r="K1647" s="7">
        <f>K1648</f>
        <v>0</v>
      </c>
      <c r="L1647" s="36">
        <f t="shared" si="341"/>
        <v>1653.5</v>
      </c>
      <c r="M1647" s="7">
        <f>M1648</f>
        <v>0</v>
      </c>
      <c r="N1647" s="36">
        <f t="shared" si="349"/>
        <v>1653.5</v>
      </c>
      <c r="O1647" s="7">
        <f>O1648</f>
        <v>0</v>
      </c>
      <c r="P1647" s="36">
        <f t="shared" si="345"/>
        <v>1653.5</v>
      </c>
      <c r="Q1647" s="7">
        <f>Q1648</f>
        <v>0</v>
      </c>
      <c r="R1647" s="36">
        <f t="shared" si="343"/>
        <v>1653.5</v>
      </c>
    </row>
    <row r="1648" spans="1:18" ht="12.75">
      <c r="A1648" s="62" t="str">
        <f ca="1">IF(ISERROR(MATCH(E1648,Код_КВР,0)),"",INDIRECT(ADDRESS(MATCH(E1648,Код_КВР,0)+1,2,,,"КВР")))</f>
        <v>Расходы на выплаты персоналу муниципальных органов</v>
      </c>
      <c r="B1648" s="116" t="s">
        <v>415</v>
      </c>
      <c r="C1648" s="8" t="s">
        <v>225</v>
      </c>
      <c r="D1648" s="1" t="s">
        <v>223</v>
      </c>
      <c r="E1648" s="115">
        <v>120</v>
      </c>
      <c r="F1648" s="7">
        <f>'прил.5'!G1611</f>
        <v>1653.5</v>
      </c>
      <c r="G1648" s="7">
        <f>'прил.5'!H1611</f>
        <v>0</v>
      </c>
      <c r="H1648" s="36">
        <f t="shared" si="346"/>
        <v>1653.5</v>
      </c>
      <c r="I1648" s="7">
        <f>'прил.5'!J1611</f>
        <v>0</v>
      </c>
      <c r="J1648" s="36">
        <f t="shared" si="344"/>
        <v>1653.5</v>
      </c>
      <c r="K1648" s="7">
        <f>'прил.5'!L1611</f>
        <v>0</v>
      </c>
      <c r="L1648" s="36">
        <f t="shared" si="341"/>
        <v>1653.5</v>
      </c>
      <c r="M1648" s="7">
        <f>'прил.5'!N1611</f>
        <v>0</v>
      </c>
      <c r="N1648" s="36">
        <f t="shared" si="349"/>
        <v>1653.5</v>
      </c>
      <c r="O1648" s="7">
        <f>'прил.5'!P1611</f>
        <v>0</v>
      </c>
      <c r="P1648" s="36">
        <f t="shared" si="345"/>
        <v>1653.5</v>
      </c>
      <c r="Q1648" s="7">
        <f>'прил.5'!R1611</f>
        <v>0</v>
      </c>
      <c r="R1648" s="36">
        <f t="shared" si="343"/>
        <v>1653.5</v>
      </c>
    </row>
    <row r="1649" spans="1:18" ht="12.75">
      <c r="A1649" s="62" t="str">
        <f ca="1">IF(ISERROR(MATCH(E1649,Код_КВР,0)),"",INDIRECT(ADDRESS(MATCH(E1649,Код_КВР,0)+1,2,,,"КВР")))</f>
        <v>Закупка товаров, работ и услуг для муниципальных нужд</v>
      </c>
      <c r="B1649" s="116" t="s">
        <v>415</v>
      </c>
      <c r="C1649" s="8" t="s">
        <v>225</v>
      </c>
      <c r="D1649" s="1" t="s">
        <v>223</v>
      </c>
      <c r="E1649" s="115">
        <v>200</v>
      </c>
      <c r="F1649" s="7">
        <f>F1650</f>
        <v>50</v>
      </c>
      <c r="G1649" s="7">
        <f>G1650</f>
        <v>0</v>
      </c>
      <c r="H1649" s="36">
        <f t="shared" si="346"/>
        <v>50</v>
      </c>
      <c r="I1649" s="7">
        <f>I1650</f>
        <v>0</v>
      </c>
      <c r="J1649" s="36">
        <f t="shared" si="344"/>
        <v>50</v>
      </c>
      <c r="K1649" s="7">
        <f>K1650</f>
        <v>0</v>
      </c>
      <c r="L1649" s="36">
        <f t="shared" si="341"/>
        <v>50</v>
      </c>
      <c r="M1649" s="7">
        <f>M1650</f>
        <v>0</v>
      </c>
      <c r="N1649" s="36">
        <f t="shared" si="349"/>
        <v>50</v>
      </c>
      <c r="O1649" s="7">
        <f>O1650</f>
        <v>0</v>
      </c>
      <c r="P1649" s="36">
        <f t="shared" si="345"/>
        <v>50</v>
      </c>
      <c r="Q1649" s="7">
        <f>Q1650</f>
        <v>0</v>
      </c>
      <c r="R1649" s="36">
        <f t="shared" si="343"/>
        <v>50</v>
      </c>
    </row>
    <row r="1650" spans="1:18" ht="33">
      <c r="A1650" s="62" t="str">
        <f ca="1">IF(ISERROR(MATCH(E1650,Код_КВР,0)),"",INDIRECT(ADDRESS(MATCH(E1650,Код_КВР,0)+1,2,,,"КВР")))</f>
        <v>Иные закупки товаров, работ и услуг для обеспечения муниципальных нужд</v>
      </c>
      <c r="B1650" s="116" t="s">
        <v>415</v>
      </c>
      <c r="C1650" s="8" t="s">
        <v>225</v>
      </c>
      <c r="D1650" s="1" t="s">
        <v>223</v>
      </c>
      <c r="E1650" s="115">
        <v>240</v>
      </c>
      <c r="F1650" s="7">
        <f>F1651</f>
        <v>50</v>
      </c>
      <c r="G1650" s="7">
        <f>G1651</f>
        <v>0</v>
      </c>
      <c r="H1650" s="36">
        <f t="shared" si="346"/>
        <v>50</v>
      </c>
      <c r="I1650" s="7">
        <f>I1651</f>
        <v>0</v>
      </c>
      <c r="J1650" s="36">
        <f t="shared" si="344"/>
        <v>50</v>
      </c>
      <c r="K1650" s="7">
        <f>K1651</f>
        <v>0</v>
      </c>
      <c r="L1650" s="36">
        <f t="shared" si="341"/>
        <v>50</v>
      </c>
      <c r="M1650" s="7">
        <f>M1651</f>
        <v>0</v>
      </c>
      <c r="N1650" s="36">
        <f t="shared" si="349"/>
        <v>50</v>
      </c>
      <c r="O1650" s="7">
        <f>O1651</f>
        <v>0</v>
      </c>
      <c r="P1650" s="36">
        <f t="shared" si="345"/>
        <v>50</v>
      </c>
      <c r="Q1650" s="7">
        <f>Q1651</f>
        <v>0</v>
      </c>
      <c r="R1650" s="36">
        <f t="shared" si="343"/>
        <v>50</v>
      </c>
    </row>
    <row r="1651" spans="1:18" ht="33">
      <c r="A1651" s="62" t="str">
        <f ca="1">IF(ISERROR(MATCH(E1651,Код_КВР,0)),"",INDIRECT(ADDRESS(MATCH(E1651,Код_КВР,0)+1,2,,,"КВР")))</f>
        <v xml:space="preserve">Прочая закупка товаров, работ и услуг для обеспечения муниципальных нужд         </v>
      </c>
      <c r="B1651" s="116" t="s">
        <v>415</v>
      </c>
      <c r="C1651" s="8" t="s">
        <v>225</v>
      </c>
      <c r="D1651" s="1" t="s">
        <v>223</v>
      </c>
      <c r="E1651" s="115">
        <v>244</v>
      </c>
      <c r="F1651" s="7">
        <f>'прил.5'!G1614</f>
        <v>50</v>
      </c>
      <c r="G1651" s="7">
        <f>'прил.5'!H1614</f>
        <v>0</v>
      </c>
      <c r="H1651" s="36">
        <f t="shared" si="346"/>
        <v>50</v>
      </c>
      <c r="I1651" s="7">
        <f>'прил.5'!J1614</f>
        <v>0</v>
      </c>
      <c r="J1651" s="36">
        <f t="shared" si="344"/>
        <v>50</v>
      </c>
      <c r="K1651" s="7">
        <f>'прил.5'!L1614</f>
        <v>0</v>
      </c>
      <c r="L1651" s="36">
        <f t="shared" si="341"/>
        <v>50</v>
      </c>
      <c r="M1651" s="7">
        <f>'прил.5'!N1614</f>
        <v>0</v>
      </c>
      <c r="N1651" s="36">
        <f t="shared" si="349"/>
        <v>50</v>
      </c>
      <c r="O1651" s="7">
        <f>'прил.5'!P1614</f>
        <v>0</v>
      </c>
      <c r="P1651" s="36">
        <f t="shared" si="345"/>
        <v>50</v>
      </c>
      <c r="Q1651" s="7">
        <f>'прил.5'!R1614</f>
        <v>0</v>
      </c>
      <c r="R1651" s="36">
        <f t="shared" si="343"/>
        <v>50</v>
      </c>
    </row>
    <row r="1652" spans="1:18" ht="102.75" customHeight="1">
      <c r="A1652" s="62" t="str">
        <f ca="1">IF(ISERROR(MATCH(B1652,Код_КЦСР,0)),"",INDIRECT(ADDRESS(MATCH(B1652,Код_КЦСР,0)+1,2,,,"КЦСР")))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652" s="116" t="s">
        <v>388</v>
      </c>
      <c r="C1652" s="8"/>
      <c r="D1652" s="1"/>
      <c r="E1652" s="115"/>
      <c r="F1652" s="7">
        <f aca="true" t="shared" si="350" ref="F1652:Q1655">F1653</f>
        <v>341.6</v>
      </c>
      <c r="G1652" s="7">
        <f t="shared" si="350"/>
        <v>0</v>
      </c>
      <c r="H1652" s="36">
        <f t="shared" si="346"/>
        <v>341.6</v>
      </c>
      <c r="I1652" s="7">
        <f t="shared" si="350"/>
        <v>0</v>
      </c>
      <c r="J1652" s="36">
        <f t="shared" si="344"/>
        <v>341.6</v>
      </c>
      <c r="K1652" s="7">
        <f t="shared" si="350"/>
        <v>0</v>
      </c>
      <c r="L1652" s="36">
        <f t="shared" si="341"/>
        <v>341.6</v>
      </c>
      <c r="M1652" s="7">
        <f t="shared" si="350"/>
        <v>0</v>
      </c>
      <c r="N1652" s="36">
        <f t="shared" si="349"/>
        <v>341.6</v>
      </c>
      <c r="O1652" s="7">
        <f t="shared" si="350"/>
        <v>0</v>
      </c>
      <c r="P1652" s="36">
        <f t="shared" si="345"/>
        <v>341.6</v>
      </c>
      <c r="Q1652" s="7">
        <f t="shared" si="350"/>
        <v>0</v>
      </c>
      <c r="R1652" s="36">
        <f t="shared" si="343"/>
        <v>341.6</v>
      </c>
    </row>
    <row r="1653" spans="1:18" ht="12.75">
      <c r="A1653" s="62" t="str">
        <f ca="1">IF(ISERROR(MATCH(C1653,Код_Раздел,0)),"",INDIRECT(ADDRESS(MATCH(C1653,Код_Раздел,0)+1,2,,,"Раздел")))</f>
        <v>Общегосударственные  вопросы</v>
      </c>
      <c r="B1653" s="116" t="s">
        <v>388</v>
      </c>
      <c r="C1653" s="8" t="s">
        <v>221</v>
      </c>
      <c r="D1653" s="1"/>
      <c r="E1653" s="115"/>
      <c r="F1653" s="7">
        <f t="shared" si="350"/>
        <v>341.6</v>
      </c>
      <c r="G1653" s="7">
        <f t="shared" si="350"/>
        <v>0</v>
      </c>
      <c r="H1653" s="36">
        <f t="shared" si="346"/>
        <v>341.6</v>
      </c>
      <c r="I1653" s="7">
        <f t="shared" si="350"/>
        <v>0</v>
      </c>
      <c r="J1653" s="36">
        <f t="shared" si="344"/>
        <v>341.6</v>
      </c>
      <c r="K1653" s="7">
        <f t="shared" si="350"/>
        <v>0</v>
      </c>
      <c r="L1653" s="36">
        <f t="shared" si="341"/>
        <v>341.6</v>
      </c>
      <c r="M1653" s="7">
        <f t="shared" si="350"/>
        <v>0</v>
      </c>
      <c r="N1653" s="36">
        <f t="shared" si="349"/>
        <v>341.6</v>
      </c>
      <c r="O1653" s="7">
        <f t="shared" si="350"/>
        <v>0</v>
      </c>
      <c r="P1653" s="36">
        <f t="shared" si="345"/>
        <v>341.6</v>
      </c>
      <c r="Q1653" s="7">
        <f t="shared" si="350"/>
        <v>0</v>
      </c>
      <c r="R1653" s="36">
        <f t="shared" si="343"/>
        <v>341.6</v>
      </c>
    </row>
    <row r="1654" spans="1:18" ht="57" customHeight="1">
      <c r="A1654" s="78" t="s">
        <v>243</v>
      </c>
      <c r="B1654" s="116" t="s">
        <v>388</v>
      </c>
      <c r="C1654" s="8" t="s">
        <v>221</v>
      </c>
      <c r="D1654" s="1" t="s">
        <v>224</v>
      </c>
      <c r="E1654" s="115"/>
      <c r="F1654" s="7">
        <f t="shared" si="350"/>
        <v>341.6</v>
      </c>
      <c r="G1654" s="7">
        <f t="shared" si="350"/>
        <v>0</v>
      </c>
      <c r="H1654" s="36">
        <f t="shared" si="346"/>
        <v>341.6</v>
      </c>
      <c r="I1654" s="7">
        <f t="shared" si="350"/>
        <v>0</v>
      </c>
      <c r="J1654" s="36">
        <f t="shared" si="344"/>
        <v>341.6</v>
      </c>
      <c r="K1654" s="7">
        <f t="shared" si="350"/>
        <v>0</v>
      </c>
      <c r="L1654" s="36">
        <f t="shared" si="341"/>
        <v>341.6</v>
      </c>
      <c r="M1654" s="7">
        <f t="shared" si="350"/>
        <v>0</v>
      </c>
      <c r="N1654" s="36">
        <f t="shared" si="349"/>
        <v>341.6</v>
      </c>
      <c r="O1654" s="7">
        <f t="shared" si="350"/>
        <v>0</v>
      </c>
      <c r="P1654" s="36">
        <f t="shared" si="345"/>
        <v>341.6</v>
      </c>
      <c r="Q1654" s="7">
        <f t="shared" si="350"/>
        <v>0</v>
      </c>
      <c r="R1654" s="36">
        <f t="shared" si="343"/>
        <v>341.6</v>
      </c>
    </row>
    <row r="1655" spans="1:18" ht="36.75" customHeight="1">
      <c r="A1655" s="62" t="str">
        <f ca="1">IF(ISERROR(MATCH(E1655,Код_КВР,0)),"",INDIRECT(ADDRESS(MATCH(E1655,Код_КВР,0)+1,2,,,"КВР")))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55" s="116" t="s">
        <v>388</v>
      </c>
      <c r="C1655" s="8" t="s">
        <v>221</v>
      </c>
      <c r="D1655" s="1" t="s">
        <v>224</v>
      </c>
      <c r="E1655" s="115">
        <v>100</v>
      </c>
      <c r="F1655" s="7">
        <f t="shared" si="350"/>
        <v>341.6</v>
      </c>
      <c r="G1655" s="7">
        <f t="shared" si="350"/>
        <v>0</v>
      </c>
      <c r="H1655" s="36">
        <f t="shared" si="346"/>
        <v>341.6</v>
      </c>
      <c r="I1655" s="7">
        <f t="shared" si="350"/>
        <v>0</v>
      </c>
      <c r="J1655" s="36">
        <f t="shared" si="344"/>
        <v>341.6</v>
      </c>
      <c r="K1655" s="7">
        <f t="shared" si="350"/>
        <v>0</v>
      </c>
      <c r="L1655" s="36">
        <f t="shared" si="341"/>
        <v>341.6</v>
      </c>
      <c r="M1655" s="7">
        <f t="shared" si="350"/>
        <v>0</v>
      </c>
      <c r="N1655" s="36">
        <f t="shared" si="349"/>
        <v>341.6</v>
      </c>
      <c r="O1655" s="7">
        <f t="shared" si="350"/>
        <v>0</v>
      </c>
      <c r="P1655" s="36">
        <f t="shared" si="345"/>
        <v>341.6</v>
      </c>
      <c r="Q1655" s="7">
        <f t="shared" si="350"/>
        <v>0</v>
      </c>
      <c r="R1655" s="36">
        <f t="shared" si="343"/>
        <v>341.6</v>
      </c>
    </row>
    <row r="1656" spans="1:18" ht="12.75">
      <c r="A1656" s="62" t="str">
        <f ca="1">IF(ISERROR(MATCH(E1656,Код_КВР,0)),"",INDIRECT(ADDRESS(MATCH(E1656,Код_КВР,0)+1,2,,,"КВР")))</f>
        <v>Расходы на выплаты персоналу муниципальных органов</v>
      </c>
      <c r="B1656" s="116" t="s">
        <v>388</v>
      </c>
      <c r="C1656" s="8" t="s">
        <v>221</v>
      </c>
      <c r="D1656" s="1" t="s">
        <v>224</v>
      </c>
      <c r="E1656" s="115">
        <v>120</v>
      </c>
      <c r="F1656" s="7">
        <f>'прил.5'!G61</f>
        <v>341.6</v>
      </c>
      <c r="G1656" s="7">
        <f>'прил.5'!H61</f>
        <v>0</v>
      </c>
      <c r="H1656" s="36">
        <f t="shared" si="346"/>
        <v>341.6</v>
      </c>
      <c r="I1656" s="7">
        <f>'прил.5'!J61</f>
        <v>0</v>
      </c>
      <c r="J1656" s="36">
        <f t="shared" si="344"/>
        <v>341.6</v>
      </c>
      <c r="K1656" s="7">
        <f>'прил.5'!L61</f>
        <v>0</v>
      </c>
      <c r="L1656" s="36">
        <f t="shared" si="341"/>
        <v>341.6</v>
      </c>
      <c r="M1656" s="7">
        <f>'прил.5'!N61</f>
        <v>0</v>
      </c>
      <c r="N1656" s="36">
        <f t="shared" si="349"/>
        <v>341.6</v>
      </c>
      <c r="O1656" s="7">
        <f>'прил.5'!P61</f>
        <v>0</v>
      </c>
      <c r="P1656" s="36">
        <f t="shared" si="345"/>
        <v>341.6</v>
      </c>
      <c r="Q1656" s="7">
        <f>'прил.5'!R61</f>
        <v>0</v>
      </c>
      <c r="R1656" s="36">
        <f t="shared" si="343"/>
        <v>341.6</v>
      </c>
    </row>
    <row r="1657" spans="1:18" ht="109.5" customHeight="1">
      <c r="A1657" s="62" t="str">
        <f ca="1">IF(ISERROR(MATCH(B1657,Код_КЦСР,0)),"",INDIRECT(ADDRESS(MATCH(B1657,Код_КЦСР,0)+1,2,,,"КЦСР")))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657" s="116" t="s">
        <v>400</v>
      </c>
      <c r="C1657" s="8"/>
      <c r="D1657" s="1"/>
      <c r="E1657" s="115"/>
      <c r="F1657" s="7">
        <f aca="true" t="shared" si="351" ref="F1657:Q1660">F1658</f>
        <v>247.7</v>
      </c>
      <c r="G1657" s="7">
        <f t="shared" si="351"/>
        <v>0</v>
      </c>
      <c r="H1657" s="36">
        <f t="shared" si="346"/>
        <v>247.7</v>
      </c>
      <c r="I1657" s="7">
        <f t="shared" si="351"/>
        <v>0</v>
      </c>
      <c r="J1657" s="36">
        <f t="shared" si="344"/>
        <v>247.7</v>
      </c>
      <c r="K1657" s="7">
        <f t="shared" si="351"/>
        <v>0</v>
      </c>
      <c r="L1657" s="36">
        <f t="shared" si="341"/>
        <v>247.7</v>
      </c>
      <c r="M1657" s="7">
        <f t="shared" si="351"/>
        <v>0</v>
      </c>
      <c r="N1657" s="36">
        <f t="shared" si="349"/>
        <v>247.7</v>
      </c>
      <c r="O1657" s="7">
        <f t="shared" si="351"/>
        <v>0</v>
      </c>
      <c r="P1657" s="36">
        <f t="shared" si="345"/>
        <v>247.7</v>
      </c>
      <c r="Q1657" s="7">
        <f t="shared" si="351"/>
        <v>0</v>
      </c>
      <c r="R1657" s="36">
        <f t="shared" si="343"/>
        <v>247.7</v>
      </c>
    </row>
    <row r="1658" spans="1:18" ht="12.75">
      <c r="A1658" s="62" t="str">
        <f ca="1">IF(ISERROR(MATCH(C1658,Код_Раздел,0)),"",INDIRECT(ADDRESS(MATCH(C1658,Код_Раздел,0)+1,2,,,"Раздел")))</f>
        <v>Общегосударственные  вопросы</v>
      </c>
      <c r="B1658" s="116" t="s">
        <v>400</v>
      </c>
      <c r="C1658" s="8" t="s">
        <v>221</v>
      </c>
      <c r="D1658" s="1"/>
      <c r="E1658" s="115"/>
      <c r="F1658" s="7">
        <f t="shared" si="351"/>
        <v>247.7</v>
      </c>
      <c r="G1658" s="7">
        <f t="shared" si="351"/>
        <v>0</v>
      </c>
      <c r="H1658" s="36">
        <f t="shared" si="346"/>
        <v>247.7</v>
      </c>
      <c r="I1658" s="7">
        <f t="shared" si="351"/>
        <v>0</v>
      </c>
      <c r="J1658" s="36">
        <f t="shared" si="344"/>
        <v>247.7</v>
      </c>
      <c r="K1658" s="7">
        <f t="shared" si="351"/>
        <v>0</v>
      </c>
      <c r="L1658" s="36">
        <f t="shared" si="341"/>
        <v>247.7</v>
      </c>
      <c r="M1658" s="7">
        <f t="shared" si="351"/>
        <v>0</v>
      </c>
      <c r="N1658" s="36">
        <f t="shared" si="349"/>
        <v>247.7</v>
      </c>
      <c r="O1658" s="7">
        <f t="shared" si="351"/>
        <v>0</v>
      </c>
      <c r="P1658" s="36">
        <f t="shared" si="345"/>
        <v>247.7</v>
      </c>
      <c r="Q1658" s="7">
        <f t="shared" si="351"/>
        <v>0</v>
      </c>
      <c r="R1658" s="36">
        <f t="shared" si="343"/>
        <v>247.7</v>
      </c>
    </row>
    <row r="1659" spans="1:18" ht="33">
      <c r="A1659" s="12" t="s">
        <v>173</v>
      </c>
      <c r="B1659" s="116" t="s">
        <v>400</v>
      </c>
      <c r="C1659" s="8" t="s">
        <v>221</v>
      </c>
      <c r="D1659" s="1" t="s">
        <v>225</v>
      </c>
      <c r="E1659" s="115"/>
      <c r="F1659" s="7">
        <f t="shared" si="351"/>
        <v>247.7</v>
      </c>
      <c r="G1659" s="7">
        <f t="shared" si="351"/>
        <v>0</v>
      </c>
      <c r="H1659" s="36">
        <f t="shared" si="346"/>
        <v>247.7</v>
      </c>
      <c r="I1659" s="7">
        <f t="shared" si="351"/>
        <v>0</v>
      </c>
      <c r="J1659" s="36">
        <f t="shared" si="344"/>
        <v>247.7</v>
      </c>
      <c r="K1659" s="7">
        <f t="shared" si="351"/>
        <v>0</v>
      </c>
      <c r="L1659" s="36">
        <f t="shared" si="341"/>
        <v>247.7</v>
      </c>
      <c r="M1659" s="7">
        <f t="shared" si="351"/>
        <v>0</v>
      </c>
      <c r="N1659" s="36">
        <f t="shared" si="349"/>
        <v>247.7</v>
      </c>
      <c r="O1659" s="7">
        <f t="shared" si="351"/>
        <v>0</v>
      </c>
      <c r="P1659" s="36">
        <f t="shared" si="345"/>
        <v>247.7</v>
      </c>
      <c r="Q1659" s="7">
        <f t="shared" si="351"/>
        <v>0</v>
      </c>
      <c r="R1659" s="36">
        <f t="shared" si="343"/>
        <v>247.7</v>
      </c>
    </row>
    <row r="1660" spans="1:18" ht="33">
      <c r="A1660" s="62" t="str">
        <f ca="1">IF(ISERROR(MATCH(E1660,Код_КВР,0)),"",INDIRECT(ADDRESS(MATCH(E1660,Код_КВР,0)+1,2,,,"КВР")))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60" s="116" t="s">
        <v>400</v>
      </c>
      <c r="C1660" s="8" t="s">
        <v>221</v>
      </c>
      <c r="D1660" s="1" t="s">
        <v>225</v>
      </c>
      <c r="E1660" s="115">
        <v>100</v>
      </c>
      <c r="F1660" s="7">
        <f t="shared" si="351"/>
        <v>247.7</v>
      </c>
      <c r="G1660" s="7">
        <f t="shared" si="351"/>
        <v>0</v>
      </c>
      <c r="H1660" s="36">
        <f t="shared" si="346"/>
        <v>247.7</v>
      </c>
      <c r="I1660" s="7">
        <f t="shared" si="351"/>
        <v>0</v>
      </c>
      <c r="J1660" s="36">
        <f t="shared" si="344"/>
        <v>247.7</v>
      </c>
      <c r="K1660" s="7">
        <f t="shared" si="351"/>
        <v>0</v>
      </c>
      <c r="L1660" s="36">
        <f t="shared" si="341"/>
        <v>247.7</v>
      </c>
      <c r="M1660" s="7">
        <f t="shared" si="351"/>
        <v>0</v>
      </c>
      <c r="N1660" s="36">
        <f t="shared" si="349"/>
        <v>247.7</v>
      </c>
      <c r="O1660" s="7">
        <f t="shared" si="351"/>
        <v>0</v>
      </c>
      <c r="P1660" s="36">
        <f t="shared" si="345"/>
        <v>247.7</v>
      </c>
      <c r="Q1660" s="7">
        <f t="shared" si="351"/>
        <v>0</v>
      </c>
      <c r="R1660" s="36">
        <f t="shared" si="343"/>
        <v>247.7</v>
      </c>
    </row>
    <row r="1661" spans="1:18" ht="12.75">
      <c r="A1661" s="62" t="str">
        <f ca="1">IF(ISERROR(MATCH(E1661,Код_КВР,0)),"",INDIRECT(ADDRESS(MATCH(E1661,Код_КВР,0)+1,2,,,"КВР")))</f>
        <v>Расходы на выплаты персоналу муниципальных органов</v>
      </c>
      <c r="B1661" s="116" t="s">
        <v>400</v>
      </c>
      <c r="C1661" s="8" t="s">
        <v>221</v>
      </c>
      <c r="D1661" s="1" t="s">
        <v>225</v>
      </c>
      <c r="E1661" s="115">
        <v>120</v>
      </c>
      <c r="F1661" s="7">
        <f>'прил.5'!G860</f>
        <v>247.7</v>
      </c>
      <c r="G1661" s="7">
        <f>'прил.5'!H860</f>
        <v>0</v>
      </c>
      <c r="H1661" s="36">
        <f t="shared" si="346"/>
        <v>247.7</v>
      </c>
      <c r="I1661" s="7">
        <f>'прил.5'!J860</f>
        <v>0</v>
      </c>
      <c r="J1661" s="36">
        <f t="shared" si="344"/>
        <v>247.7</v>
      </c>
      <c r="K1661" s="7">
        <f>'прил.5'!L860</f>
        <v>0</v>
      </c>
      <c r="L1661" s="36">
        <f t="shared" si="341"/>
        <v>247.7</v>
      </c>
      <c r="M1661" s="7">
        <f>'прил.5'!N860</f>
        <v>0</v>
      </c>
      <c r="N1661" s="36">
        <f t="shared" si="349"/>
        <v>247.7</v>
      </c>
      <c r="O1661" s="7">
        <f>'прил.5'!P860</f>
        <v>0</v>
      </c>
      <c r="P1661" s="36">
        <f t="shared" si="345"/>
        <v>247.7</v>
      </c>
      <c r="Q1661" s="7">
        <f>'прил.5'!R860</f>
        <v>0</v>
      </c>
      <c r="R1661" s="36">
        <f t="shared" si="343"/>
        <v>247.7</v>
      </c>
    </row>
    <row r="1662" spans="1:18" ht="156.75" customHeight="1">
      <c r="A1662" s="62" t="str">
        <f ca="1">IF(ISERROR(MATCH(B1662,Код_КЦСР,0)),"",INDIRECT(ADDRESS(MATCH(B1662,Код_КЦСР,0)+1,2,,,"КЦСР")))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662" s="116" t="s">
        <v>429</v>
      </c>
      <c r="C1662" s="8"/>
      <c r="D1662" s="1"/>
      <c r="E1662" s="115"/>
      <c r="F1662" s="7">
        <f aca="true" t="shared" si="352" ref="F1662:Q1665">F1663</f>
        <v>112.3</v>
      </c>
      <c r="G1662" s="7">
        <f t="shared" si="352"/>
        <v>0</v>
      </c>
      <c r="H1662" s="36">
        <f t="shared" si="346"/>
        <v>112.3</v>
      </c>
      <c r="I1662" s="7">
        <f t="shared" si="352"/>
        <v>0</v>
      </c>
      <c r="J1662" s="36">
        <f t="shared" si="344"/>
        <v>112.3</v>
      </c>
      <c r="K1662" s="7">
        <f t="shared" si="352"/>
        <v>0</v>
      </c>
      <c r="L1662" s="36">
        <f t="shared" si="341"/>
        <v>112.3</v>
      </c>
      <c r="M1662" s="7">
        <f t="shared" si="352"/>
        <v>0</v>
      </c>
      <c r="N1662" s="36">
        <f t="shared" si="349"/>
        <v>112.3</v>
      </c>
      <c r="O1662" s="7">
        <f t="shared" si="352"/>
        <v>0</v>
      </c>
      <c r="P1662" s="36">
        <f t="shared" si="345"/>
        <v>112.3</v>
      </c>
      <c r="Q1662" s="7">
        <f t="shared" si="352"/>
        <v>0</v>
      </c>
      <c r="R1662" s="36">
        <f t="shared" si="343"/>
        <v>112.3</v>
      </c>
    </row>
    <row r="1663" spans="1:18" ht="12.75">
      <c r="A1663" s="62" t="str">
        <f ca="1">IF(ISERROR(MATCH(C1663,Код_Раздел,0)),"",INDIRECT(ADDRESS(MATCH(C1663,Код_Раздел,0)+1,2,,,"Раздел")))</f>
        <v>Национальная экономика</v>
      </c>
      <c r="B1663" s="116" t="s">
        <v>429</v>
      </c>
      <c r="C1663" s="8" t="s">
        <v>224</v>
      </c>
      <c r="D1663" s="1"/>
      <c r="E1663" s="115"/>
      <c r="F1663" s="7">
        <f t="shared" si="352"/>
        <v>112.3</v>
      </c>
      <c r="G1663" s="7">
        <f t="shared" si="352"/>
        <v>0</v>
      </c>
      <c r="H1663" s="36">
        <f t="shared" si="346"/>
        <v>112.3</v>
      </c>
      <c r="I1663" s="7">
        <f t="shared" si="352"/>
        <v>0</v>
      </c>
      <c r="J1663" s="36">
        <f t="shared" si="344"/>
        <v>112.3</v>
      </c>
      <c r="K1663" s="7">
        <f t="shared" si="352"/>
        <v>0</v>
      </c>
      <c r="L1663" s="36">
        <f t="shared" si="341"/>
        <v>112.3</v>
      </c>
      <c r="M1663" s="7">
        <f t="shared" si="352"/>
        <v>0</v>
      </c>
      <c r="N1663" s="36">
        <f t="shared" si="349"/>
        <v>112.3</v>
      </c>
      <c r="O1663" s="7">
        <f t="shared" si="352"/>
        <v>0</v>
      </c>
      <c r="P1663" s="36">
        <f t="shared" si="345"/>
        <v>112.3</v>
      </c>
      <c r="Q1663" s="7">
        <f t="shared" si="352"/>
        <v>0</v>
      </c>
      <c r="R1663" s="36">
        <f t="shared" si="343"/>
        <v>112.3</v>
      </c>
    </row>
    <row r="1664" spans="1:18" ht="12.75">
      <c r="A1664" s="12" t="s">
        <v>231</v>
      </c>
      <c r="B1664" s="116" t="s">
        <v>429</v>
      </c>
      <c r="C1664" s="8" t="s">
        <v>224</v>
      </c>
      <c r="D1664" s="1" t="s">
        <v>204</v>
      </c>
      <c r="E1664" s="115"/>
      <c r="F1664" s="7">
        <f t="shared" si="352"/>
        <v>112.3</v>
      </c>
      <c r="G1664" s="7">
        <f t="shared" si="352"/>
        <v>0</v>
      </c>
      <c r="H1664" s="36">
        <f t="shared" si="346"/>
        <v>112.3</v>
      </c>
      <c r="I1664" s="7">
        <f t="shared" si="352"/>
        <v>0</v>
      </c>
      <c r="J1664" s="36">
        <f t="shared" si="344"/>
        <v>112.3</v>
      </c>
      <c r="K1664" s="7">
        <f t="shared" si="352"/>
        <v>0</v>
      </c>
      <c r="L1664" s="36">
        <f t="shared" si="341"/>
        <v>112.3</v>
      </c>
      <c r="M1664" s="7">
        <f t="shared" si="352"/>
        <v>0</v>
      </c>
      <c r="N1664" s="36">
        <f t="shared" si="349"/>
        <v>112.3</v>
      </c>
      <c r="O1664" s="7">
        <f t="shared" si="352"/>
        <v>0</v>
      </c>
      <c r="P1664" s="36">
        <f t="shared" si="345"/>
        <v>112.3</v>
      </c>
      <c r="Q1664" s="7">
        <f t="shared" si="352"/>
        <v>0</v>
      </c>
      <c r="R1664" s="36">
        <f t="shared" si="343"/>
        <v>112.3</v>
      </c>
    </row>
    <row r="1665" spans="1:18" ht="33">
      <c r="A1665" s="62" t="str">
        <f ca="1">IF(ISERROR(MATCH(E1665,Код_КВР,0)),"",INDIRECT(ADDRESS(MATCH(E1665,Код_КВР,0)+1,2,,,"КВР")))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65" s="116" t="s">
        <v>429</v>
      </c>
      <c r="C1665" s="8" t="s">
        <v>224</v>
      </c>
      <c r="D1665" s="1" t="s">
        <v>204</v>
      </c>
      <c r="E1665" s="115">
        <v>100</v>
      </c>
      <c r="F1665" s="7">
        <f t="shared" si="352"/>
        <v>112.3</v>
      </c>
      <c r="G1665" s="7">
        <f t="shared" si="352"/>
        <v>0</v>
      </c>
      <c r="H1665" s="36">
        <f t="shared" si="346"/>
        <v>112.3</v>
      </c>
      <c r="I1665" s="7">
        <f t="shared" si="352"/>
        <v>0</v>
      </c>
      <c r="J1665" s="36">
        <f t="shared" si="344"/>
        <v>112.3</v>
      </c>
      <c r="K1665" s="7">
        <f t="shared" si="352"/>
        <v>0</v>
      </c>
      <c r="L1665" s="36">
        <f t="shared" si="341"/>
        <v>112.3</v>
      </c>
      <c r="M1665" s="7">
        <f t="shared" si="352"/>
        <v>0</v>
      </c>
      <c r="N1665" s="36">
        <f t="shared" si="349"/>
        <v>112.3</v>
      </c>
      <c r="O1665" s="7">
        <f t="shared" si="352"/>
        <v>0</v>
      </c>
      <c r="P1665" s="36">
        <f t="shared" si="345"/>
        <v>112.3</v>
      </c>
      <c r="Q1665" s="7">
        <f t="shared" si="352"/>
        <v>0</v>
      </c>
      <c r="R1665" s="36">
        <f t="shared" si="343"/>
        <v>112.3</v>
      </c>
    </row>
    <row r="1666" spans="1:18" ht="12.75">
      <c r="A1666" s="62" t="str">
        <f ca="1">IF(ISERROR(MATCH(E1666,Код_КВР,0)),"",INDIRECT(ADDRESS(MATCH(E1666,Код_КВР,0)+1,2,,,"КВР")))</f>
        <v>Расходы на выплаты персоналу муниципальных органов</v>
      </c>
      <c r="B1666" s="116" t="s">
        <v>429</v>
      </c>
      <c r="C1666" s="8" t="s">
        <v>224</v>
      </c>
      <c r="D1666" s="1" t="s">
        <v>204</v>
      </c>
      <c r="E1666" s="115">
        <v>120</v>
      </c>
      <c r="F1666" s="7">
        <f>'прил.5'!G1485</f>
        <v>112.3</v>
      </c>
      <c r="G1666" s="7">
        <f>'прил.5'!H1485</f>
        <v>0</v>
      </c>
      <c r="H1666" s="36">
        <f t="shared" si="346"/>
        <v>112.3</v>
      </c>
      <c r="I1666" s="7">
        <f>'прил.5'!J1485</f>
        <v>0</v>
      </c>
      <c r="J1666" s="36">
        <f t="shared" si="344"/>
        <v>112.3</v>
      </c>
      <c r="K1666" s="7">
        <f>'прил.5'!L1485</f>
        <v>0</v>
      </c>
      <c r="L1666" s="36">
        <f t="shared" si="341"/>
        <v>112.3</v>
      </c>
      <c r="M1666" s="7">
        <f>'прил.5'!N1485</f>
        <v>0</v>
      </c>
      <c r="N1666" s="36">
        <f t="shared" si="349"/>
        <v>112.3</v>
      </c>
      <c r="O1666" s="7">
        <f>'прил.5'!P1485</f>
        <v>0</v>
      </c>
      <c r="P1666" s="36">
        <f t="shared" si="345"/>
        <v>112.3</v>
      </c>
      <c r="Q1666" s="7">
        <f>'прил.5'!R1485</f>
        <v>0</v>
      </c>
      <c r="R1666" s="36">
        <f t="shared" si="343"/>
        <v>112.3</v>
      </c>
    </row>
    <row r="1667" spans="1:18" ht="12.75">
      <c r="A1667" s="62" t="str">
        <f ca="1">IF(ISERROR(MATCH(B1667,Код_КЦСР,0)),"",INDIRECT(ADDRESS(MATCH(B1667,Код_КЦСР,0)+1,2,,,"КЦСР")))</f>
        <v>Резервные фонды</v>
      </c>
      <c r="B1667" s="116" t="s">
        <v>450</v>
      </c>
      <c r="C1667" s="8"/>
      <c r="D1667" s="1"/>
      <c r="E1667" s="115"/>
      <c r="F1667" s="7">
        <f aca="true" t="shared" si="353" ref="F1667:Q1671">F1668</f>
        <v>69251.3</v>
      </c>
      <c r="G1667" s="7">
        <f t="shared" si="353"/>
        <v>-9691.9</v>
      </c>
      <c r="H1667" s="36">
        <f t="shared" si="346"/>
        <v>59559.4</v>
      </c>
      <c r="I1667" s="7">
        <f t="shared" si="353"/>
        <v>-630.1</v>
      </c>
      <c r="J1667" s="36">
        <f t="shared" si="344"/>
        <v>58929.3</v>
      </c>
      <c r="K1667" s="7">
        <f t="shared" si="353"/>
        <v>-42706.7</v>
      </c>
      <c r="L1667" s="36">
        <f aca="true" t="shared" si="354" ref="L1667:L1678">J1667+K1667</f>
        <v>16222.600000000006</v>
      </c>
      <c r="M1667" s="7">
        <f t="shared" si="353"/>
        <v>-4163</v>
      </c>
      <c r="N1667" s="36">
        <f t="shared" si="349"/>
        <v>12059.600000000006</v>
      </c>
      <c r="O1667" s="7">
        <f t="shared" si="353"/>
        <v>0</v>
      </c>
      <c r="P1667" s="36">
        <f t="shared" si="345"/>
        <v>12059.600000000006</v>
      </c>
      <c r="Q1667" s="7">
        <f t="shared" si="353"/>
        <v>-310.0999999999999</v>
      </c>
      <c r="R1667" s="36">
        <f t="shared" si="343"/>
        <v>11749.500000000005</v>
      </c>
    </row>
    <row r="1668" spans="1:18" ht="12.75">
      <c r="A1668" s="62" t="str">
        <f ca="1">IF(ISERROR(MATCH(B1668,Код_КЦСР,0)),"",INDIRECT(ADDRESS(MATCH(B1668,Код_КЦСР,0)+1,2,,,"КЦСР")))</f>
        <v>Резервные фонды мэрии города</v>
      </c>
      <c r="B1668" s="116" t="s">
        <v>451</v>
      </c>
      <c r="C1668" s="8"/>
      <c r="D1668" s="1"/>
      <c r="E1668" s="115"/>
      <c r="F1668" s="7">
        <f t="shared" si="353"/>
        <v>69251.3</v>
      </c>
      <c r="G1668" s="7">
        <f t="shared" si="353"/>
        <v>-9691.9</v>
      </c>
      <c r="H1668" s="36">
        <f t="shared" si="346"/>
        <v>59559.4</v>
      </c>
      <c r="I1668" s="7">
        <f t="shared" si="353"/>
        <v>-630.1</v>
      </c>
      <c r="J1668" s="36">
        <f t="shared" si="344"/>
        <v>58929.3</v>
      </c>
      <c r="K1668" s="7">
        <f t="shared" si="353"/>
        <v>-42706.7</v>
      </c>
      <c r="L1668" s="36">
        <f t="shared" si="354"/>
        <v>16222.600000000006</v>
      </c>
      <c r="M1668" s="7">
        <f t="shared" si="353"/>
        <v>-4163</v>
      </c>
      <c r="N1668" s="36">
        <f t="shared" si="349"/>
        <v>12059.600000000006</v>
      </c>
      <c r="O1668" s="7">
        <f t="shared" si="353"/>
        <v>0</v>
      </c>
      <c r="P1668" s="36">
        <f t="shared" si="345"/>
        <v>12059.600000000006</v>
      </c>
      <c r="Q1668" s="7">
        <f t="shared" si="353"/>
        <v>-310.0999999999999</v>
      </c>
      <c r="R1668" s="36">
        <f t="shared" si="343"/>
        <v>11749.500000000005</v>
      </c>
    </row>
    <row r="1669" spans="1:18" ht="12.75">
      <c r="A1669" s="62" t="str">
        <f ca="1">IF(ISERROR(MATCH(C1669,Код_Раздел,0)),"",INDIRECT(ADDRESS(MATCH(C1669,Код_Раздел,0)+1,2,,,"Раздел")))</f>
        <v>Общегосударственные  вопросы</v>
      </c>
      <c r="B1669" s="116" t="s">
        <v>451</v>
      </c>
      <c r="C1669" s="8" t="s">
        <v>221</v>
      </c>
      <c r="D1669" s="1"/>
      <c r="E1669" s="115"/>
      <c r="F1669" s="7">
        <f t="shared" si="353"/>
        <v>69251.3</v>
      </c>
      <c r="G1669" s="7">
        <f t="shared" si="353"/>
        <v>-9691.9</v>
      </c>
      <c r="H1669" s="36">
        <f t="shared" si="346"/>
        <v>59559.4</v>
      </c>
      <c r="I1669" s="7">
        <f t="shared" si="353"/>
        <v>-630.1</v>
      </c>
      <c r="J1669" s="36">
        <f t="shared" si="344"/>
        <v>58929.3</v>
      </c>
      <c r="K1669" s="7">
        <f t="shared" si="353"/>
        <v>-42706.7</v>
      </c>
      <c r="L1669" s="36">
        <f t="shared" si="354"/>
        <v>16222.600000000006</v>
      </c>
      <c r="M1669" s="7">
        <f t="shared" si="353"/>
        <v>-4163</v>
      </c>
      <c r="N1669" s="36">
        <f t="shared" si="349"/>
        <v>12059.600000000006</v>
      </c>
      <c r="O1669" s="7">
        <f t="shared" si="353"/>
        <v>0</v>
      </c>
      <c r="P1669" s="36">
        <f t="shared" si="345"/>
        <v>12059.600000000006</v>
      </c>
      <c r="Q1669" s="7">
        <f t="shared" si="353"/>
        <v>-310.0999999999999</v>
      </c>
      <c r="R1669" s="36">
        <f t="shared" si="343"/>
        <v>11749.500000000005</v>
      </c>
    </row>
    <row r="1670" spans="1:18" ht="12.75">
      <c r="A1670" s="12" t="s">
        <v>208</v>
      </c>
      <c r="B1670" s="116" t="s">
        <v>451</v>
      </c>
      <c r="C1670" s="8" t="s">
        <v>221</v>
      </c>
      <c r="D1670" s="1" t="s">
        <v>232</v>
      </c>
      <c r="E1670" s="115"/>
      <c r="F1670" s="7">
        <f t="shared" si="353"/>
        <v>69251.3</v>
      </c>
      <c r="G1670" s="7">
        <f t="shared" si="353"/>
        <v>-9691.9</v>
      </c>
      <c r="H1670" s="36">
        <f t="shared" si="346"/>
        <v>59559.4</v>
      </c>
      <c r="I1670" s="7">
        <f t="shared" si="353"/>
        <v>-630.1</v>
      </c>
      <c r="J1670" s="36">
        <f t="shared" si="344"/>
        <v>58929.3</v>
      </c>
      <c r="K1670" s="7">
        <f t="shared" si="353"/>
        <v>-42706.7</v>
      </c>
      <c r="L1670" s="36">
        <f t="shared" si="354"/>
        <v>16222.600000000006</v>
      </c>
      <c r="M1670" s="7">
        <f t="shared" si="353"/>
        <v>-4163</v>
      </c>
      <c r="N1670" s="36">
        <f t="shared" si="349"/>
        <v>12059.600000000006</v>
      </c>
      <c r="O1670" s="7">
        <f t="shared" si="353"/>
        <v>0</v>
      </c>
      <c r="P1670" s="36">
        <f t="shared" si="345"/>
        <v>12059.600000000006</v>
      </c>
      <c r="Q1670" s="7">
        <f t="shared" si="353"/>
        <v>-310.0999999999999</v>
      </c>
      <c r="R1670" s="36">
        <f t="shared" si="343"/>
        <v>11749.500000000005</v>
      </c>
    </row>
    <row r="1671" spans="1:18" ht="12.75">
      <c r="A1671" s="62" t="str">
        <f ca="1">IF(ISERROR(MATCH(E1671,Код_КВР,0)),"",INDIRECT(ADDRESS(MATCH(E1671,Код_КВР,0)+1,2,,,"КВР")))</f>
        <v>Иные бюджетные ассигнования</v>
      </c>
      <c r="B1671" s="116" t="s">
        <v>451</v>
      </c>
      <c r="C1671" s="8" t="s">
        <v>221</v>
      </c>
      <c r="D1671" s="1" t="s">
        <v>232</v>
      </c>
      <c r="E1671" s="115">
        <v>800</v>
      </c>
      <c r="F1671" s="7">
        <f t="shared" si="353"/>
        <v>69251.3</v>
      </c>
      <c r="G1671" s="7">
        <f t="shared" si="353"/>
        <v>-9691.9</v>
      </c>
      <c r="H1671" s="36">
        <f t="shared" si="346"/>
        <v>59559.4</v>
      </c>
      <c r="I1671" s="7">
        <f t="shared" si="353"/>
        <v>-630.1</v>
      </c>
      <c r="J1671" s="36">
        <f t="shared" si="344"/>
        <v>58929.3</v>
      </c>
      <c r="K1671" s="7">
        <f t="shared" si="353"/>
        <v>-42706.7</v>
      </c>
      <c r="L1671" s="36">
        <f t="shared" si="354"/>
        <v>16222.600000000006</v>
      </c>
      <c r="M1671" s="7">
        <f t="shared" si="353"/>
        <v>-4163</v>
      </c>
      <c r="N1671" s="36">
        <f t="shared" si="349"/>
        <v>12059.600000000006</v>
      </c>
      <c r="O1671" s="7">
        <f t="shared" si="353"/>
        <v>0</v>
      </c>
      <c r="P1671" s="36">
        <f t="shared" si="345"/>
        <v>12059.600000000006</v>
      </c>
      <c r="Q1671" s="7">
        <f t="shared" si="353"/>
        <v>-310.0999999999999</v>
      </c>
      <c r="R1671" s="36">
        <f t="shared" si="343"/>
        <v>11749.500000000005</v>
      </c>
    </row>
    <row r="1672" spans="1:18" ht="12.75">
      <c r="A1672" s="62" t="str">
        <f ca="1">IF(ISERROR(MATCH(E1672,Код_КВР,0)),"",INDIRECT(ADDRESS(MATCH(E1672,Код_КВР,0)+1,2,,,"КВР")))</f>
        <v>Резервные средства</v>
      </c>
      <c r="B1672" s="116" t="s">
        <v>451</v>
      </c>
      <c r="C1672" s="8" t="s">
        <v>221</v>
      </c>
      <c r="D1672" s="1" t="s">
        <v>232</v>
      </c>
      <c r="E1672" s="115">
        <v>870</v>
      </c>
      <c r="F1672" s="7">
        <f>'прил.5'!G867</f>
        <v>69251.3</v>
      </c>
      <c r="G1672" s="7">
        <f>'прил.5'!H867</f>
        <v>-9691.9</v>
      </c>
      <c r="H1672" s="36">
        <f t="shared" si="346"/>
        <v>59559.4</v>
      </c>
      <c r="I1672" s="7">
        <f>'прил.5'!J867</f>
        <v>-630.1</v>
      </c>
      <c r="J1672" s="36">
        <f t="shared" si="344"/>
        <v>58929.3</v>
      </c>
      <c r="K1672" s="7">
        <f>'прил.5'!L867</f>
        <v>-42706.7</v>
      </c>
      <c r="L1672" s="36">
        <f t="shared" si="354"/>
        <v>16222.600000000006</v>
      </c>
      <c r="M1672" s="7">
        <f>'прил.5'!N867</f>
        <v>-4163</v>
      </c>
      <c r="N1672" s="36">
        <f t="shared" si="349"/>
        <v>12059.600000000006</v>
      </c>
      <c r="O1672" s="7">
        <f>'прил.5'!P867</f>
        <v>0</v>
      </c>
      <c r="P1672" s="36">
        <f t="shared" si="345"/>
        <v>12059.600000000006</v>
      </c>
      <c r="Q1672" s="7">
        <f>'прил.5'!R867</f>
        <v>-310.0999999999999</v>
      </c>
      <c r="R1672" s="36">
        <f t="shared" si="343"/>
        <v>11749.500000000005</v>
      </c>
    </row>
    <row r="1673" spans="1:18" ht="49.5">
      <c r="A1673" s="62" t="str">
        <f ca="1">IF(ISERROR(MATCH(B1673,Код_КЦСР,0)),"",INDIRECT(ADDRESS(MATCH(B1673,Код_КЦСР,0)+1,2,,,"КЦСР")))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673" s="64" t="s">
        <v>452</v>
      </c>
      <c r="C1673" s="8"/>
      <c r="D1673" s="1"/>
      <c r="E1673" s="115"/>
      <c r="F1673" s="7">
        <f aca="true" t="shared" si="355" ref="F1673:Q1676">F1674</f>
        <v>35000</v>
      </c>
      <c r="G1673" s="7">
        <f t="shared" si="355"/>
        <v>0</v>
      </c>
      <c r="H1673" s="36">
        <f t="shared" si="346"/>
        <v>35000</v>
      </c>
      <c r="I1673" s="7">
        <f t="shared" si="355"/>
        <v>0</v>
      </c>
      <c r="J1673" s="36">
        <f t="shared" si="344"/>
        <v>35000</v>
      </c>
      <c r="K1673" s="7">
        <f t="shared" si="355"/>
        <v>0</v>
      </c>
      <c r="L1673" s="36">
        <f t="shared" si="354"/>
        <v>35000</v>
      </c>
      <c r="M1673" s="7">
        <f t="shared" si="355"/>
        <v>0</v>
      </c>
      <c r="N1673" s="36">
        <f t="shared" si="349"/>
        <v>35000</v>
      </c>
      <c r="O1673" s="7">
        <f t="shared" si="355"/>
        <v>0</v>
      </c>
      <c r="P1673" s="36">
        <f t="shared" si="345"/>
        <v>35000</v>
      </c>
      <c r="Q1673" s="7">
        <f t="shared" si="355"/>
        <v>0</v>
      </c>
      <c r="R1673" s="36">
        <f t="shared" si="343"/>
        <v>35000</v>
      </c>
    </row>
    <row r="1674" spans="1:18" ht="12.75">
      <c r="A1674" s="62" t="str">
        <f ca="1">IF(ISERROR(MATCH(C1674,Код_Раздел,0)),"",INDIRECT(ADDRESS(MATCH(C1674,Код_Раздел,0)+1,2,,,"Раздел")))</f>
        <v>Национальная экономика</v>
      </c>
      <c r="B1674" s="64" t="s">
        <v>452</v>
      </c>
      <c r="C1674" s="8" t="s">
        <v>224</v>
      </c>
      <c r="D1674" s="1"/>
      <c r="E1674" s="115"/>
      <c r="F1674" s="7">
        <f t="shared" si="355"/>
        <v>35000</v>
      </c>
      <c r="G1674" s="7">
        <f t="shared" si="355"/>
        <v>0</v>
      </c>
      <c r="H1674" s="36">
        <f t="shared" si="346"/>
        <v>35000</v>
      </c>
      <c r="I1674" s="7">
        <f t="shared" si="355"/>
        <v>0</v>
      </c>
      <c r="J1674" s="36">
        <f t="shared" si="344"/>
        <v>35000</v>
      </c>
      <c r="K1674" s="7">
        <f t="shared" si="355"/>
        <v>0</v>
      </c>
      <c r="L1674" s="36">
        <f t="shared" si="354"/>
        <v>35000</v>
      </c>
      <c r="M1674" s="7">
        <f t="shared" si="355"/>
        <v>0</v>
      </c>
      <c r="N1674" s="36">
        <f t="shared" si="349"/>
        <v>35000</v>
      </c>
      <c r="O1674" s="7">
        <f t="shared" si="355"/>
        <v>0</v>
      </c>
      <c r="P1674" s="36">
        <f t="shared" si="345"/>
        <v>35000</v>
      </c>
      <c r="Q1674" s="7">
        <f t="shared" si="355"/>
        <v>0</v>
      </c>
      <c r="R1674" s="36">
        <f t="shared" si="343"/>
        <v>35000</v>
      </c>
    </row>
    <row r="1675" spans="1:18" ht="12.75">
      <c r="A1675" s="79" t="s">
        <v>188</v>
      </c>
      <c r="B1675" s="64" t="s">
        <v>452</v>
      </c>
      <c r="C1675" s="8" t="s">
        <v>224</v>
      </c>
      <c r="D1675" s="1" t="s">
        <v>227</v>
      </c>
      <c r="E1675" s="115"/>
      <c r="F1675" s="7">
        <f t="shared" si="355"/>
        <v>35000</v>
      </c>
      <c r="G1675" s="7">
        <f t="shared" si="355"/>
        <v>0</v>
      </c>
      <c r="H1675" s="36">
        <f t="shared" si="346"/>
        <v>35000</v>
      </c>
      <c r="I1675" s="7">
        <f t="shared" si="355"/>
        <v>0</v>
      </c>
      <c r="J1675" s="36">
        <f t="shared" si="344"/>
        <v>35000</v>
      </c>
      <c r="K1675" s="7">
        <f t="shared" si="355"/>
        <v>0</v>
      </c>
      <c r="L1675" s="36">
        <f t="shared" si="354"/>
        <v>35000</v>
      </c>
      <c r="M1675" s="7">
        <f t="shared" si="355"/>
        <v>0</v>
      </c>
      <c r="N1675" s="36">
        <f t="shared" si="349"/>
        <v>35000</v>
      </c>
      <c r="O1675" s="7">
        <f t="shared" si="355"/>
        <v>0</v>
      </c>
      <c r="P1675" s="36">
        <f t="shared" si="345"/>
        <v>35000</v>
      </c>
      <c r="Q1675" s="7">
        <f t="shared" si="355"/>
        <v>0</v>
      </c>
      <c r="R1675" s="36">
        <f aca="true" t="shared" si="356" ref="R1675:R1678">P1675+Q1675</f>
        <v>35000</v>
      </c>
    </row>
    <row r="1676" spans="1:18" ht="18.75" customHeight="1">
      <c r="A1676" s="62" t="str">
        <f ca="1">IF(ISERROR(MATCH(E1676,Код_КВР,0)),"",INDIRECT(ADDRESS(MATCH(E1676,Код_КВР,0)+1,2,,,"КВР")))</f>
        <v>Иные бюджетные ассигнования</v>
      </c>
      <c r="B1676" s="64" t="s">
        <v>452</v>
      </c>
      <c r="C1676" s="8" t="s">
        <v>224</v>
      </c>
      <c r="D1676" s="1" t="s">
        <v>227</v>
      </c>
      <c r="E1676" s="115">
        <v>800</v>
      </c>
      <c r="F1676" s="7">
        <f t="shared" si="355"/>
        <v>35000</v>
      </c>
      <c r="G1676" s="7">
        <f t="shared" si="355"/>
        <v>0</v>
      </c>
      <c r="H1676" s="36">
        <f t="shared" si="346"/>
        <v>35000</v>
      </c>
      <c r="I1676" s="7">
        <f t="shared" si="355"/>
        <v>0</v>
      </c>
      <c r="J1676" s="36">
        <f t="shared" si="344"/>
        <v>35000</v>
      </c>
      <c r="K1676" s="7">
        <f t="shared" si="355"/>
        <v>0</v>
      </c>
      <c r="L1676" s="36">
        <f t="shared" si="354"/>
        <v>35000</v>
      </c>
      <c r="M1676" s="7">
        <f t="shared" si="355"/>
        <v>0</v>
      </c>
      <c r="N1676" s="36">
        <f t="shared" si="349"/>
        <v>35000</v>
      </c>
      <c r="O1676" s="7">
        <f t="shared" si="355"/>
        <v>0</v>
      </c>
      <c r="P1676" s="36">
        <f t="shared" si="345"/>
        <v>35000</v>
      </c>
      <c r="Q1676" s="7">
        <f t="shared" si="355"/>
        <v>0</v>
      </c>
      <c r="R1676" s="36">
        <f t="shared" si="356"/>
        <v>35000</v>
      </c>
    </row>
    <row r="1677" spans="1:18" ht="50.25" customHeight="1">
      <c r="A1677" s="62" t="str">
        <f ca="1">IF(ISERROR(MATCH(E1677,Код_КВР,0)),"",INDIRECT(ADDRESS(MATCH(E1677,Код_КВР,0)+1,2,,,"КВР")))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677" s="64" t="s">
        <v>452</v>
      </c>
      <c r="C1677" s="8" t="s">
        <v>224</v>
      </c>
      <c r="D1677" s="1" t="s">
        <v>227</v>
      </c>
      <c r="E1677" s="115">
        <v>810</v>
      </c>
      <c r="F1677" s="7">
        <f>'прил.5'!G453</f>
        <v>35000</v>
      </c>
      <c r="G1677" s="7">
        <f>'прил.5'!H453</f>
        <v>0</v>
      </c>
      <c r="H1677" s="36">
        <f t="shared" si="346"/>
        <v>35000</v>
      </c>
      <c r="I1677" s="7">
        <f>'прил.5'!J453</f>
        <v>0</v>
      </c>
      <c r="J1677" s="36">
        <f t="shared" si="344"/>
        <v>35000</v>
      </c>
      <c r="K1677" s="7">
        <f>'прил.5'!L453</f>
        <v>0</v>
      </c>
      <c r="L1677" s="36">
        <f t="shared" si="354"/>
        <v>35000</v>
      </c>
      <c r="M1677" s="7">
        <f>'прил.5'!N453</f>
        <v>0</v>
      </c>
      <c r="N1677" s="36">
        <f>L1677+M1677</f>
        <v>35000</v>
      </c>
      <c r="O1677" s="7">
        <f>'прил.5'!P453</f>
        <v>0</v>
      </c>
      <c r="P1677" s="36">
        <f t="shared" si="345"/>
        <v>35000</v>
      </c>
      <c r="Q1677" s="7">
        <f>'прил.5'!R453</f>
        <v>0</v>
      </c>
      <c r="R1677" s="36">
        <f t="shared" si="356"/>
        <v>35000</v>
      </c>
    </row>
    <row r="1678" spans="1:18" ht="12.75">
      <c r="A1678" s="62" t="s">
        <v>174</v>
      </c>
      <c r="B1678" s="1"/>
      <c r="C1678" s="1"/>
      <c r="D1678" s="2"/>
      <c r="E1678" s="2"/>
      <c r="F1678" s="2">
        <f>F18+F232+F421+F479+F500+F529+F536+F552+F568+F587+F683+F697+F715+F872+F904+F912+F924+F937+F1001+F1025+F1169+F1258+F1304+F1352+F1393</f>
        <v>6670495.8999999985</v>
      </c>
      <c r="G1678" s="2">
        <f>G18+G232+G421+G479+G500+G529+G536+G552+G568+G587+G683+G697+G715+G872+G904+G912+G924+G937+G1001+G1025+G1169+G1258+G1304+G1352+G1393</f>
        <v>-22308.299999999996</v>
      </c>
      <c r="H1678" s="36">
        <f t="shared" si="346"/>
        <v>6648187.599999999</v>
      </c>
      <c r="I1678" s="2">
        <f>I18+I232+I421+I479+I500+I529+I536+I552+I568+I587+I683+I697+I715+I872+I904+I912+I924+I937+I1001+I1025+I1169+I1258+I1304+I1352+I1393</f>
        <v>0</v>
      </c>
      <c r="J1678" s="36">
        <f>H1678+I1678</f>
        <v>6648187.599999999</v>
      </c>
      <c r="K1678" s="2">
        <f>K18+K232+K421+K479+K500+K529+K536+K552+K568+K587+K683+K697+K715+K872+K904+K912+K924+K937+K1001+K1025+K1169+K1258+K1304+K1352+K1393</f>
        <v>-65000</v>
      </c>
      <c r="L1678" s="36">
        <f t="shared" si="354"/>
        <v>6583187.599999999</v>
      </c>
      <c r="M1678" s="2">
        <f>M18+M232+M421+M479+M500+M529+M536+M552+M568+M587+M683+M697+M715+M872+M904+M912+M924+M937+M1001+M1025+M1169+M1258+M1304+M1352+M1393</f>
        <v>-939.5999999999995</v>
      </c>
      <c r="N1678" s="36">
        <f t="shared" si="349"/>
        <v>6582247.999999999</v>
      </c>
      <c r="O1678" s="2">
        <f>O18+O232+O421+O479+O500+O529+O536+O552+O568+O587+O683+O697+O715+O872+O904+O912+O924+O937+O1001+O1025+O1169+O1258+O1304+O1352+O1393</f>
        <v>12800</v>
      </c>
      <c r="P1678" s="36">
        <f t="shared" si="345"/>
        <v>6595047.999999999</v>
      </c>
      <c r="Q1678" s="2">
        <f>Q18+Q232+Q421+Q479+Q500+Q529+Q536+Q552+Q568+Q587+Q683+Q697+Q715+Q872+Q904+Q912+Q924+Q937+Q1001+Q1025+Q1169+Q1258+Q1304+Q1352+Q1393</f>
        <v>318523.4</v>
      </c>
      <c r="R1678" s="36">
        <f t="shared" si="356"/>
        <v>6913571.399999999</v>
      </c>
    </row>
    <row r="1679" spans="1:6" ht="12.75">
      <c r="A1679" s="19"/>
      <c r="B1679" s="29"/>
      <c r="C1679" s="29"/>
      <c r="D1679" s="29"/>
      <c r="E1679" s="29"/>
      <c r="F1679" s="30"/>
    </row>
    <row r="1680" spans="1:18" ht="12.75">
      <c r="A1680" s="19"/>
      <c r="B1680" s="29"/>
      <c r="C1680" s="29"/>
      <c r="D1680" s="29"/>
      <c r="E1680" s="29"/>
      <c r="F1680" s="30"/>
      <c r="Q1680" s="33">
        <f>Q1678-'прил.5'!R1633</f>
        <v>0</v>
      </c>
      <c r="R1680" s="33">
        <f>R1678-'прил.5'!S1633</f>
        <v>0</v>
      </c>
    </row>
    <row r="1681" spans="1:6" ht="12.75">
      <c r="A1681" s="19"/>
      <c r="B1681" s="29"/>
      <c r="C1681" s="29"/>
      <c r="D1681" s="29"/>
      <c r="E1681" s="29"/>
      <c r="F1681" s="30"/>
    </row>
    <row r="1682" spans="1:18" ht="12.75">
      <c r="A1682" s="19"/>
      <c r="B1682" s="29"/>
      <c r="C1682" s="29"/>
      <c r="D1682" s="29"/>
      <c r="E1682" s="29"/>
      <c r="F1682" s="30"/>
      <c r="R1682" s="21">
        <f>Q1682</f>
        <v>0</v>
      </c>
    </row>
    <row r="1683" spans="1:18" ht="12.75">
      <c r="A1683" s="76"/>
      <c r="B1683" s="29"/>
      <c r="C1683" s="29"/>
      <c r="D1683" s="29"/>
      <c r="E1683" s="29"/>
      <c r="F1683" s="30"/>
      <c r="R1683" s="21">
        <f>Q1683</f>
        <v>0</v>
      </c>
    </row>
    <row r="1684" spans="1:18" ht="12.75">
      <c r="A1684" s="83"/>
      <c r="B1684" s="29"/>
      <c r="C1684" s="29"/>
      <c r="D1684" s="29"/>
      <c r="E1684" s="29"/>
      <c r="F1684" s="30"/>
      <c r="Q1684" s="21">
        <f>SUM(Q1682:Q1683)</f>
        <v>0</v>
      </c>
      <c r="R1684" s="21">
        <f>SUM(R1682:R1683)</f>
        <v>0</v>
      </c>
    </row>
    <row r="1685" spans="1:6" ht="12.75">
      <c r="A1685" s="76"/>
      <c r="B1685" s="29"/>
      <c r="C1685" s="29"/>
      <c r="D1685" s="29"/>
      <c r="E1685" s="29"/>
      <c r="F1685" s="30"/>
    </row>
    <row r="1686" spans="1:6" ht="12.75">
      <c r="A1686" s="76"/>
      <c r="B1686" s="29"/>
      <c r="C1686" s="29"/>
      <c r="D1686" s="29"/>
      <c r="E1686" s="29"/>
      <c r="F1686" s="30"/>
    </row>
    <row r="1687" spans="1:6" ht="12.75">
      <c r="A1687" s="84"/>
      <c r="B1687" s="29"/>
      <c r="C1687" s="29"/>
      <c r="D1687" s="29"/>
      <c r="E1687" s="29"/>
      <c r="F1687" s="30"/>
    </row>
    <row r="1688" spans="1:6" ht="12.75">
      <c r="A1688" s="76"/>
      <c r="B1688" s="29"/>
      <c r="C1688" s="29"/>
      <c r="D1688" s="29"/>
      <c r="E1688" s="29"/>
      <c r="F1688" s="30"/>
    </row>
    <row r="1689" spans="1:6" ht="12.75">
      <c r="A1689" s="76"/>
      <c r="B1689" s="29"/>
      <c r="C1689" s="29"/>
      <c r="D1689" s="29"/>
      <c r="E1689" s="29"/>
      <c r="F1689" s="30"/>
    </row>
    <row r="1690" spans="1:6" ht="12.75">
      <c r="A1690" s="19"/>
      <c r="B1690" s="29"/>
      <c r="C1690" s="29"/>
      <c r="D1690" s="29"/>
      <c r="E1690" s="29"/>
      <c r="F1690" s="30"/>
    </row>
    <row r="1691" spans="1:6" ht="12.75">
      <c r="A1691" s="19"/>
      <c r="B1691" s="29"/>
      <c r="C1691" s="29"/>
      <c r="D1691" s="29"/>
      <c r="E1691" s="29"/>
      <c r="F1691" s="30"/>
    </row>
    <row r="1692" spans="1:6" ht="12.75">
      <c r="A1692" s="76"/>
      <c r="B1692" s="29"/>
      <c r="C1692" s="29"/>
      <c r="D1692" s="29"/>
      <c r="E1692" s="29"/>
      <c r="F1692" s="30"/>
    </row>
    <row r="1693" spans="1:6" ht="12.75">
      <c r="A1693" s="84"/>
      <c r="B1693" s="29"/>
      <c r="C1693" s="29"/>
      <c r="D1693" s="29"/>
      <c r="E1693" s="29"/>
      <c r="F1693" s="30"/>
    </row>
    <row r="1694" spans="1:6" ht="12.75">
      <c r="A1694" s="19"/>
      <c r="B1694" s="29"/>
      <c r="C1694" s="29"/>
      <c r="D1694" s="29"/>
      <c r="E1694" s="29"/>
      <c r="F1694" s="30"/>
    </row>
    <row r="1695" spans="1:6" ht="12.75">
      <c r="A1695" s="19"/>
      <c r="B1695" s="29"/>
      <c r="C1695" s="29"/>
      <c r="D1695" s="29"/>
      <c r="E1695" s="29"/>
      <c r="F1695" s="30"/>
    </row>
    <row r="1696" spans="1:6" ht="12.75">
      <c r="A1696" s="76"/>
      <c r="B1696" s="29"/>
      <c r="C1696" s="29"/>
      <c r="D1696" s="29"/>
      <c r="E1696" s="29"/>
      <c r="F1696" s="30"/>
    </row>
    <row r="1697" spans="1:6" ht="12.75">
      <c r="A1697" s="76"/>
      <c r="B1697" s="29"/>
      <c r="C1697" s="29"/>
      <c r="D1697" s="29"/>
      <c r="E1697" s="29"/>
      <c r="F1697" s="30"/>
    </row>
    <row r="1698" spans="1:6" ht="12.75">
      <c r="A1698" s="76"/>
      <c r="B1698" s="29"/>
      <c r="C1698" s="29"/>
      <c r="D1698" s="29"/>
      <c r="E1698" s="29"/>
      <c r="F1698" s="30"/>
    </row>
    <row r="1699" spans="1:6" ht="12.75">
      <c r="A1699" s="84"/>
      <c r="B1699" s="31"/>
      <c r="C1699" s="31"/>
      <c r="D1699" s="31"/>
      <c r="E1699" s="31"/>
      <c r="F1699" s="30"/>
    </row>
    <row r="1700" spans="1:6" ht="12.75">
      <c r="A1700" s="85"/>
      <c r="B1700" s="31"/>
      <c r="C1700" s="31"/>
      <c r="D1700" s="31"/>
      <c r="E1700" s="31"/>
      <c r="F1700" s="30"/>
    </row>
    <row r="1701" spans="1:6" ht="12.75">
      <c r="A1701" s="86"/>
      <c r="B1701" s="31"/>
      <c r="C1701" s="31"/>
      <c r="D1701" s="31"/>
      <c r="E1701" s="31"/>
      <c r="F1701" s="30"/>
    </row>
    <row r="1702" spans="1:6" ht="12.75">
      <c r="A1702" s="84"/>
      <c r="B1702" s="31"/>
      <c r="C1702" s="31"/>
      <c r="D1702" s="31"/>
      <c r="E1702" s="31"/>
      <c r="F1702" s="30"/>
    </row>
    <row r="1703" spans="1:6" ht="12.75">
      <c r="A1703" s="76"/>
      <c r="B1703" s="29"/>
      <c r="C1703" s="29"/>
      <c r="D1703" s="29"/>
      <c r="E1703" s="29"/>
      <c r="F1703" s="30"/>
    </row>
    <row r="1704" spans="1:6" ht="12.75">
      <c r="A1704" s="84"/>
      <c r="B1704" s="29"/>
      <c r="C1704" s="29"/>
      <c r="D1704" s="29"/>
      <c r="E1704" s="29"/>
      <c r="F1704" s="30"/>
    </row>
    <row r="1705" spans="1:6" ht="12.75">
      <c r="A1705" s="84"/>
      <c r="B1705" s="29"/>
      <c r="C1705" s="29"/>
      <c r="D1705" s="29"/>
      <c r="E1705" s="29"/>
      <c r="F1705" s="30"/>
    </row>
    <row r="1706" spans="1:6" ht="12.75">
      <c r="A1706" s="84"/>
      <c r="B1706" s="29"/>
      <c r="C1706" s="29"/>
      <c r="D1706" s="29"/>
      <c r="E1706" s="29"/>
      <c r="F1706" s="30"/>
    </row>
    <row r="1707" spans="1:6" ht="12.75">
      <c r="A1707" s="76"/>
      <c r="B1707" s="29"/>
      <c r="C1707" s="29"/>
      <c r="D1707" s="29"/>
      <c r="E1707" s="29"/>
      <c r="F1707" s="30"/>
    </row>
    <row r="1708" spans="1:6" ht="12.75">
      <c r="A1708" s="19"/>
      <c r="B1708" s="29"/>
      <c r="C1708" s="29"/>
      <c r="D1708" s="29"/>
      <c r="E1708" s="29"/>
      <c r="F1708" s="30"/>
    </row>
    <row r="1709" spans="1:6" ht="12.75">
      <c r="A1709" s="84"/>
      <c r="B1709" s="29"/>
      <c r="C1709" s="29"/>
      <c r="D1709" s="29"/>
      <c r="E1709" s="29"/>
      <c r="F1709" s="30"/>
    </row>
    <row r="1710" spans="1:6" ht="12.75">
      <c r="A1710" s="19"/>
      <c r="B1710" s="29"/>
      <c r="C1710" s="29"/>
      <c r="D1710" s="29"/>
      <c r="E1710" s="29"/>
      <c r="F1710" s="30"/>
    </row>
    <row r="1711" spans="1:6" ht="12.75">
      <c r="A1711" s="84"/>
      <c r="B1711" s="29"/>
      <c r="C1711" s="29"/>
      <c r="D1711" s="29"/>
      <c r="E1711" s="29"/>
      <c r="F1711" s="30"/>
    </row>
    <row r="1712" spans="1:6" ht="12.75">
      <c r="A1712" s="84"/>
      <c r="B1712" s="29"/>
      <c r="C1712" s="29"/>
      <c r="D1712" s="29"/>
      <c r="E1712" s="29"/>
      <c r="F1712" s="30"/>
    </row>
    <row r="1713" spans="1:6" ht="12.75">
      <c r="A1713" s="84"/>
      <c r="B1713" s="29"/>
      <c r="C1713" s="29"/>
      <c r="D1713" s="29"/>
      <c r="E1713" s="29"/>
      <c r="F1713" s="30"/>
    </row>
    <row r="1714" spans="1:6" ht="12.75">
      <c r="A1714" s="19"/>
      <c r="B1714" s="31"/>
      <c r="C1714" s="31"/>
      <c r="D1714" s="31"/>
      <c r="E1714" s="31"/>
      <c r="F1714" s="30"/>
    </row>
    <row r="1715" spans="1:6" ht="12.75">
      <c r="A1715" s="84"/>
      <c r="B1715" s="29"/>
      <c r="C1715" s="29"/>
      <c r="D1715" s="29"/>
      <c r="E1715" s="29"/>
      <c r="F1715" s="30"/>
    </row>
    <row r="1716" spans="1:6" ht="12.75">
      <c r="A1716" s="76"/>
      <c r="B1716" s="29"/>
      <c r="C1716" s="29"/>
      <c r="D1716" s="29"/>
      <c r="E1716" s="29"/>
      <c r="F1716" s="30"/>
    </row>
    <row r="1717" spans="1:6" ht="12.75">
      <c r="A1717" s="19"/>
      <c r="B1717" s="29"/>
      <c r="C1717" s="29"/>
      <c r="D1717" s="29"/>
      <c r="E1717" s="29"/>
      <c r="F1717" s="30"/>
    </row>
    <row r="1718" spans="1:6" ht="12.75">
      <c r="A1718" s="76"/>
      <c r="B1718" s="29"/>
      <c r="C1718" s="29"/>
      <c r="D1718" s="29"/>
      <c r="E1718" s="29"/>
      <c r="F1718" s="30"/>
    </row>
    <row r="1719" spans="1:6" ht="12.75">
      <c r="A1719" s="76"/>
      <c r="B1719" s="29"/>
      <c r="C1719" s="29"/>
      <c r="D1719" s="29"/>
      <c r="E1719" s="29"/>
      <c r="F1719" s="30"/>
    </row>
    <row r="1720" spans="1:6" ht="12.75">
      <c r="A1720" s="19"/>
      <c r="B1720" s="31"/>
      <c r="C1720" s="31"/>
      <c r="D1720" s="31"/>
      <c r="E1720" s="31"/>
      <c r="F1720" s="30"/>
    </row>
    <row r="1721" spans="1:6" ht="12.75">
      <c r="A1721" s="84"/>
      <c r="B1721" s="29"/>
      <c r="C1721" s="29"/>
      <c r="D1721" s="29"/>
      <c r="E1721" s="29"/>
      <c r="F1721" s="30"/>
    </row>
    <row r="1722" spans="1:6" ht="12.75">
      <c r="A1722" s="76"/>
      <c r="B1722" s="29"/>
      <c r="C1722" s="29"/>
      <c r="D1722" s="29"/>
      <c r="E1722" s="29"/>
      <c r="F1722" s="30"/>
    </row>
    <row r="1723" spans="1:6" ht="12.75">
      <c r="A1723" s="84"/>
      <c r="B1723" s="29"/>
      <c r="C1723" s="29"/>
      <c r="D1723" s="29"/>
      <c r="E1723" s="29"/>
      <c r="F1723" s="30"/>
    </row>
    <row r="1724" spans="1:6" ht="12.75">
      <c r="A1724" s="84"/>
      <c r="B1724" s="31"/>
      <c r="C1724" s="31"/>
      <c r="D1724" s="31"/>
      <c r="E1724" s="31"/>
      <c r="F1724" s="32"/>
    </row>
    <row r="1725" spans="1:6" ht="12.75">
      <c r="A1725" s="84"/>
      <c r="B1725" s="29"/>
      <c r="C1725" s="29"/>
      <c r="D1725" s="29"/>
      <c r="E1725" s="29"/>
      <c r="F1725" s="30"/>
    </row>
    <row r="1726" spans="1:6" ht="12.75">
      <c r="A1726" s="85"/>
      <c r="B1726" s="29"/>
      <c r="C1726" s="29"/>
      <c r="D1726" s="29"/>
      <c r="E1726" s="29"/>
      <c r="F1726" s="30"/>
    </row>
    <row r="1727" spans="1:6" ht="12.75">
      <c r="A1727" s="84"/>
      <c r="B1727" s="29"/>
      <c r="C1727" s="29"/>
      <c r="D1727" s="29"/>
      <c r="E1727" s="29"/>
      <c r="F1727" s="30"/>
    </row>
    <row r="1728" spans="1:6" ht="12.75">
      <c r="A1728" s="76"/>
      <c r="B1728" s="31"/>
      <c r="C1728" s="29"/>
      <c r="D1728" s="29"/>
      <c r="E1728" s="31"/>
      <c r="F1728" s="30"/>
    </row>
    <row r="1729" spans="1:6" ht="12.75">
      <c r="A1729" s="76"/>
      <c r="B1729" s="29"/>
      <c r="C1729" s="29"/>
      <c r="D1729" s="29"/>
      <c r="E1729" s="31"/>
      <c r="F1729" s="30"/>
    </row>
    <row r="1730" spans="1:6" ht="12.75">
      <c r="A1730" s="76"/>
      <c r="B1730" s="31"/>
      <c r="C1730" s="29"/>
      <c r="D1730" s="29"/>
      <c r="E1730" s="31"/>
      <c r="F1730" s="30"/>
    </row>
    <row r="1731" spans="1:6" ht="12.75">
      <c r="A1731" s="19"/>
      <c r="B1731" s="31"/>
      <c r="C1731" s="29"/>
      <c r="D1731" s="29"/>
      <c r="E1731" s="31"/>
      <c r="F1731" s="30"/>
    </row>
    <row r="1732" spans="1:6" ht="12.75">
      <c r="A1732" s="84"/>
      <c r="B1732" s="31"/>
      <c r="C1732" s="29"/>
      <c r="D1732" s="29"/>
      <c r="E1732" s="31"/>
      <c r="F1732" s="30"/>
    </row>
    <row r="1733" spans="1:6" ht="12.75">
      <c r="A1733" s="19"/>
      <c r="B1733" s="31"/>
      <c r="C1733" s="29"/>
      <c r="D1733" s="29"/>
      <c r="E1733" s="31"/>
      <c r="F1733" s="30"/>
    </row>
    <row r="1734" spans="1:6" ht="12.75">
      <c r="A1734" s="19"/>
      <c r="B1734" s="31"/>
      <c r="C1734" s="31"/>
      <c r="D1734" s="31"/>
      <c r="E1734" s="31"/>
      <c r="F1734" s="30"/>
    </row>
    <row r="1735" spans="1:6" ht="12.75">
      <c r="A1735" s="76"/>
      <c r="B1735" s="31"/>
      <c r="C1735" s="31"/>
      <c r="D1735" s="31"/>
      <c r="E1735" s="31"/>
      <c r="F1735" s="30"/>
    </row>
    <row r="1736" spans="1:6" ht="12.75">
      <c r="A1736" s="76"/>
      <c r="B1736" s="31"/>
      <c r="C1736" s="31"/>
      <c r="D1736" s="31"/>
      <c r="E1736" s="31"/>
      <c r="F1736" s="30"/>
    </row>
    <row r="1737" spans="1:6" ht="12.75">
      <c r="A1737" s="84"/>
      <c r="B1737" s="31"/>
      <c r="C1737" s="31"/>
      <c r="D1737" s="31"/>
      <c r="E1737" s="31"/>
      <c r="F1737" s="30"/>
    </row>
    <row r="1738" spans="1:6" ht="12.75">
      <c r="A1738" s="86"/>
      <c r="B1738" s="31"/>
      <c r="C1738" s="31"/>
      <c r="D1738" s="31"/>
      <c r="E1738" s="31"/>
      <c r="F1738" s="30"/>
    </row>
    <row r="1739" spans="1:6" ht="12.75">
      <c r="A1739" s="76"/>
      <c r="B1739" s="31"/>
      <c r="C1739" s="31"/>
      <c r="D1739" s="31"/>
      <c r="E1739" s="31"/>
      <c r="F1739" s="30"/>
    </row>
    <row r="1740" spans="1:6" ht="12.75">
      <c r="A1740" s="84"/>
      <c r="B1740" s="31"/>
      <c r="C1740" s="31"/>
      <c r="D1740" s="31"/>
      <c r="E1740" s="31"/>
      <c r="F1740" s="30"/>
    </row>
    <row r="1741" spans="1:6" ht="12.75">
      <c r="A1741" s="76"/>
      <c r="B1741" s="31"/>
      <c r="C1741" s="31"/>
      <c r="D1741" s="31"/>
      <c r="E1741" s="31"/>
      <c r="F1741" s="30"/>
    </row>
    <row r="1742" spans="1:6" ht="12.75">
      <c r="A1742" s="76"/>
      <c r="B1742" s="29"/>
      <c r="C1742" s="29"/>
      <c r="D1742" s="29"/>
      <c r="E1742" s="29"/>
      <c r="F1742" s="30"/>
    </row>
    <row r="1743" spans="1:6" ht="12.75">
      <c r="A1743" s="76"/>
      <c r="B1743" s="29"/>
      <c r="C1743" s="29"/>
      <c r="D1743" s="29"/>
      <c r="E1743" s="29"/>
      <c r="F1743" s="30"/>
    </row>
    <row r="1744" spans="1:6" ht="12.75">
      <c r="A1744" s="76"/>
      <c r="B1744" s="29"/>
      <c r="C1744" s="29"/>
      <c r="D1744" s="29"/>
      <c r="E1744" s="29"/>
      <c r="F1744" s="30"/>
    </row>
    <row r="1745" spans="1:6" ht="12.75">
      <c r="A1745" s="84"/>
      <c r="B1745" s="29"/>
      <c r="C1745" s="29"/>
      <c r="D1745" s="29"/>
      <c r="E1745" s="29"/>
      <c r="F1745" s="30"/>
    </row>
    <row r="1746" spans="1:6" ht="12.75">
      <c r="A1746" s="19"/>
      <c r="B1746" s="29"/>
      <c r="C1746" s="29"/>
      <c r="D1746" s="29"/>
      <c r="E1746" s="29"/>
      <c r="F1746" s="30"/>
    </row>
    <row r="1747" spans="1:6" ht="12.75">
      <c r="A1747" s="84"/>
      <c r="B1747" s="29"/>
      <c r="C1747" s="29"/>
      <c r="D1747" s="29"/>
      <c r="E1747" s="29"/>
      <c r="F1747" s="30"/>
    </row>
    <row r="1748" spans="1:6" ht="12.75">
      <c r="A1748" s="76"/>
      <c r="B1748" s="29"/>
      <c r="C1748" s="29"/>
      <c r="D1748" s="29"/>
      <c r="E1748" s="29"/>
      <c r="F1748" s="30"/>
    </row>
    <row r="1749" spans="1:6" ht="12.75">
      <c r="A1749" s="76"/>
      <c r="B1749" s="29"/>
      <c r="C1749" s="29"/>
      <c r="D1749" s="29"/>
      <c r="E1749" s="29"/>
      <c r="F1749" s="30"/>
    </row>
    <row r="1750" spans="1:6" ht="12.75">
      <c r="A1750" s="76"/>
      <c r="B1750" s="29"/>
      <c r="C1750" s="29"/>
      <c r="D1750" s="29"/>
      <c r="E1750" s="29"/>
      <c r="F1750" s="30"/>
    </row>
    <row r="1751" spans="1:6" ht="12.75">
      <c r="A1751" s="19"/>
      <c r="B1751" s="29"/>
      <c r="C1751" s="29"/>
      <c r="D1751" s="29"/>
      <c r="E1751" s="29"/>
      <c r="F1751" s="30"/>
    </row>
    <row r="1752" spans="1:6" ht="12.75">
      <c r="A1752" s="76"/>
      <c r="B1752" s="29"/>
      <c r="C1752" s="29"/>
      <c r="D1752" s="29"/>
      <c r="E1752" s="29"/>
      <c r="F1752" s="30"/>
    </row>
    <row r="1753" spans="1:6" ht="12.75">
      <c r="A1753" s="76"/>
      <c r="B1753" s="29"/>
      <c r="C1753" s="29"/>
      <c r="D1753" s="29"/>
      <c r="E1753" s="29"/>
      <c r="F1753" s="30"/>
    </row>
    <row r="1754" spans="1:6" ht="12.75">
      <c r="A1754" s="76"/>
      <c r="B1754" s="29"/>
      <c r="C1754" s="29"/>
      <c r="D1754" s="29"/>
      <c r="E1754" s="29"/>
      <c r="F1754" s="30"/>
    </row>
    <row r="1755" spans="1:6" ht="12.75">
      <c r="A1755" s="76"/>
      <c r="B1755" s="29"/>
      <c r="C1755" s="29"/>
      <c r="D1755" s="29"/>
      <c r="E1755" s="29"/>
      <c r="F1755" s="30"/>
    </row>
    <row r="1756" spans="1:6" ht="12.75">
      <c r="A1756" s="76"/>
      <c r="B1756" s="29"/>
      <c r="C1756" s="29"/>
      <c r="D1756" s="29"/>
      <c r="E1756" s="29"/>
      <c r="F1756" s="30"/>
    </row>
    <row r="1757" spans="1:6" ht="12.75">
      <c r="A1757" s="84"/>
      <c r="B1757" s="29"/>
      <c r="C1757" s="29"/>
      <c r="D1757" s="29"/>
      <c r="E1757" s="29"/>
      <c r="F1757" s="30"/>
    </row>
    <row r="1758" spans="1:6" ht="12.75">
      <c r="A1758" s="84"/>
      <c r="B1758" s="29"/>
      <c r="C1758" s="29"/>
      <c r="D1758" s="29"/>
      <c r="E1758" s="29"/>
      <c r="F1758" s="30"/>
    </row>
    <row r="1759" spans="1:6" ht="12.75">
      <c r="A1759" s="84"/>
      <c r="B1759" s="29"/>
      <c r="C1759" s="29"/>
      <c r="D1759" s="29"/>
      <c r="E1759" s="29"/>
      <c r="F1759" s="30"/>
    </row>
    <row r="1760" spans="1:6" ht="12.75">
      <c r="A1760" s="84"/>
      <c r="B1760" s="29"/>
      <c r="C1760" s="29"/>
      <c r="D1760" s="29"/>
      <c r="E1760" s="29"/>
      <c r="F1760" s="30"/>
    </row>
    <row r="1761" spans="1:6" ht="12.75">
      <c r="A1761" s="84"/>
      <c r="B1761" s="29"/>
      <c r="C1761" s="29"/>
      <c r="D1761" s="29"/>
      <c r="E1761" s="29"/>
      <c r="F1761" s="30"/>
    </row>
    <row r="1762" spans="1:6" ht="12.75">
      <c r="A1762" s="84"/>
      <c r="B1762" s="29"/>
      <c r="C1762" s="29"/>
      <c r="D1762" s="29"/>
      <c r="E1762" s="29"/>
      <c r="F1762" s="30"/>
    </row>
    <row r="1763" spans="1:6" ht="12.75">
      <c r="A1763" s="19"/>
      <c r="B1763" s="29"/>
      <c r="C1763" s="29"/>
      <c r="D1763" s="29"/>
      <c r="E1763" s="29"/>
      <c r="F1763" s="30"/>
    </row>
    <row r="1764" spans="1:6" ht="12.75">
      <c r="A1764" s="84"/>
      <c r="B1764" s="29"/>
      <c r="C1764" s="29"/>
      <c r="D1764" s="29"/>
      <c r="E1764" s="29"/>
      <c r="F1764" s="30"/>
    </row>
    <row r="1765" spans="1:6" ht="12.75">
      <c r="A1765" s="76"/>
      <c r="B1765" s="29"/>
      <c r="C1765" s="29"/>
      <c r="D1765" s="29"/>
      <c r="E1765" s="29"/>
      <c r="F1765" s="30"/>
    </row>
    <row r="1766" spans="1:6" ht="12.75">
      <c r="A1766" s="84"/>
      <c r="B1766" s="29"/>
      <c r="C1766" s="29"/>
      <c r="D1766" s="29"/>
      <c r="E1766" s="29"/>
      <c r="F1766" s="30"/>
    </row>
    <row r="1767" spans="1:6" ht="12.75">
      <c r="A1767" s="76"/>
      <c r="B1767" s="29"/>
      <c r="C1767" s="29"/>
      <c r="D1767" s="29"/>
      <c r="E1767" s="29"/>
      <c r="F1767" s="30"/>
    </row>
    <row r="1768" spans="1:6" ht="12.75">
      <c r="A1768" s="76"/>
      <c r="B1768" s="29"/>
      <c r="C1768" s="29"/>
      <c r="D1768" s="29"/>
      <c r="E1768" s="29"/>
      <c r="F1768" s="30"/>
    </row>
    <row r="1769" spans="1:6" ht="12.75">
      <c r="A1769" s="19"/>
      <c r="B1769" s="29"/>
      <c r="C1769" s="29"/>
      <c r="D1769" s="29"/>
      <c r="E1769" s="29"/>
      <c r="F1769" s="30"/>
    </row>
    <row r="1770" spans="1:6" ht="12.75">
      <c r="A1770" s="76"/>
      <c r="B1770" s="29"/>
      <c r="C1770" s="29"/>
      <c r="D1770" s="29"/>
      <c r="E1770" s="29"/>
      <c r="F1770" s="30"/>
    </row>
    <row r="1771" spans="1:6" ht="12.75">
      <c r="A1771" s="76"/>
      <c r="B1771" s="29"/>
      <c r="C1771" s="29"/>
      <c r="D1771" s="29"/>
      <c r="E1771" s="29"/>
      <c r="F1771" s="30"/>
    </row>
    <row r="1772" spans="1:6" ht="12.75">
      <c r="A1772" s="84"/>
      <c r="B1772" s="29"/>
      <c r="C1772" s="29"/>
      <c r="D1772" s="29"/>
      <c r="E1772" s="29"/>
      <c r="F1772" s="30"/>
    </row>
    <row r="1773" spans="1:6" ht="12.75">
      <c r="A1773" s="76"/>
      <c r="B1773" s="29"/>
      <c r="C1773" s="29"/>
      <c r="D1773" s="29"/>
      <c r="E1773" s="29"/>
      <c r="F1773" s="30"/>
    </row>
    <row r="1774" spans="1:6" ht="12.75">
      <c r="A1774" s="76"/>
      <c r="B1774" s="29"/>
      <c r="C1774" s="29"/>
      <c r="D1774" s="29"/>
      <c r="E1774" s="29"/>
      <c r="F1774" s="30"/>
    </row>
    <row r="1775" spans="1:6" ht="12.75">
      <c r="A1775" s="76"/>
      <c r="B1775" s="29"/>
      <c r="C1775" s="29"/>
      <c r="D1775" s="29"/>
      <c r="E1775" s="29"/>
      <c r="F1775" s="30"/>
    </row>
    <row r="1776" spans="1:6" ht="12.75">
      <c r="A1776" s="84"/>
      <c r="B1776" s="29"/>
      <c r="C1776" s="29"/>
      <c r="D1776" s="29"/>
      <c r="E1776" s="29"/>
      <c r="F1776" s="30"/>
    </row>
    <row r="1777" spans="1:6" ht="12.75">
      <c r="A1777" s="76"/>
      <c r="B1777" s="29"/>
      <c r="C1777" s="29"/>
      <c r="D1777" s="29"/>
      <c r="E1777" s="29"/>
      <c r="F1777" s="30"/>
    </row>
    <row r="1778" spans="1:6" ht="12.75">
      <c r="A1778" s="84"/>
      <c r="B1778" s="29"/>
      <c r="C1778" s="29"/>
      <c r="D1778" s="29"/>
      <c r="E1778" s="29"/>
      <c r="F1778" s="30"/>
    </row>
    <row r="1779" spans="1:6" ht="12.75">
      <c r="A1779" s="76"/>
      <c r="B1779" s="29"/>
      <c r="C1779" s="29"/>
      <c r="D1779" s="29"/>
      <c r="E1779" s="29"/>
      <c r="F1779" s="30"/>
    </row>
    <row r="1780" spans="1:6" ht="12.75">
      <c r="A1780" s="76"/>
      <c r="B1780" s="29"/>
      <c r="C1780" s="29"/>
      <c r="D1780" s="29"/>
      <c r="E1780" s="29"/>
      <c r="F1780" s="30"/>
    </row>
    <row r="1781" spans="1:6" ht="12.75">
      <c r="A1781" s="76"/>
      <c r="B1781" s="29"/>
      <c r="C1781" s="29"/>
      <c r="D1781" s="29"/>
      <c r="E1781" s="29"/>
      <c r="F1781" s="30"/>
    </row>
    <row r="1782" spans="1:6" ht="12.75">
      <c r="A1782" s="76"/>
      <c r="B1782" s="29"/>
      <c r="C1782" s="29"/>
      <c r="D1782" s="29"/>
      <c r="E1782" s="29"/>
      <c r="F1782" s="30"/>
    </row>
    <row r="1783" spans="1:6" ht="12.75">
      <c r="A1783" s="84"/>
      <c r="B1783" s="29"/>
      <c r="C1783" s="29"/>
      <c r="D1783" s="29"/>
      <c r="E1783" s="29"/>
      <c r="F1783" s="30"/>
    </row>
    <row r="1784" spans="1:6" ht="12.75">
      <c r="A1784" s="76"/>
      <c r="B1784" s="29"/>
      <c r="C1784" s="29"/>
      <c r="D1784" s="29"/>
      <c r="E1784" s="29"/>
      <c r="F1784" s="30"/>
    </row>
    <row r="1785" spans="1:6" ht="12.75">
      <c r="A1785" s="19"/>
      <c r="B1785" s="29"/>
      <c r="C1785" s="29"/>
      <c r="D1785" s="29"/>
      <c r="E1785" s="29"/>
      <c r="F1785" s="30"/>
    </row>
    <row r="1786" ht="12.75">
      <c r="F1786" s="33"/>
    </row>
    <row r="1787" ht="12.75">
      <c r="F1787" s="33"/>
    </row>
    <row r="1791" ht="12.75">
      <c r="F1791" s="33"/>
    </row>
    <row r="1792" ht="12.75">
      <c r="F1792" s="33"/>
    </row>
    <row r="1793" ht="12.75">
      <c r="F1793" s="33"/>
    </row>
    <row r="1798" spans="2:6" ht="12.75">
      <c r="B1798" s="29"/>
      <c r="F1798" s="33"/>
    </row>
    <row r="1799" spans="2:6" ht="12.75">
      <c r="B1799" s="29"/>
      <c r="F1799" s="33"/>
    </row>
    <row r="1800" spans="2:6" ht="12.75">
      <c r="B1800" s="29"/>
      <c r="F1800" s="33"/>
    </row>
  </sheetData>
  <mergeCells count="11">
    <mergeCell ref="E8:P8"/>
    <mergeCell ref="E1:P1"/>
    <mergeCell ref="E2:P2"/>
    <mergeCell ref="E3:P3"/>
    <mergeCell ref="E7:P7"/>
    <mergeCell ref="E4:P4"/>
    <mergeCell ref="E9:P9"/>
    <mergeCell ref="E10:P10"/>
    <mergeCell ref="E16:N16"/>
    <mergeCell ref="A15:F15"/>
    <mergeCell ref="A14:F14"/>
  </mergeCells>
  <dataValidations count="3">
    <dataValidation type="list" allowBlank="1" showInputMessage="1" showErrorMessage="1" sqref="B18:B1677">
      <formula1>Код_КЦСР</formula1>
    </dataValidation>
    <dataValidation type="list" allowBlank="1" showInputMessage="1" showErrorMessage="1" sqref="E18:E1677">
      <formula1>Код_КВР</formula1>
    </dataValidation>
    <dataValidation type="list" allowBlank="1" showInputMessage="1" showErrorMessage="1" sqref="C18:C1677">
      <formula1>Код_Раздел</formula1>
    </dataValidation>
  </dataValidation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48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44"/>
  <sheetViews>
    <sheetView showZeros="0" tabSelected="1" view="pageBreakPreview" zoomScale="79" zoomScaleSheetLayoutView="79" workbookViewId="0" topLeftCell="A943">
      <selection activeCell="R384" sqref="R384"/>
    </sheetView>
  </sheetViews>
  <sheetFormatPr defaultColWidth="9.125" defaultRowHeight="12.75"/>
  <cols>
    <col min="1" max="1" width="80.00390625" style="19" customWidth="1"/>
    <col min="2" max="2" width="10.25390625" style="92" customWidth="1"/>
    <col min="3" max="3" width="9.00390625" style="92" customWidth="1"/>
    <col min="4" max="4" width="9.625" style="92" customWidth="1"/>
    <col min="5" max="5" width="15.875" style="24" customWidth="1"/>
    <col min="6" max="6" width="10.375" style="92" customWidth="1"/>
    <col min="7" max="7" width="17.00390625" style="68" hidden="1" customWidth="1"/>
    <col min="8" max="8" width="12.875" style="92" hidden="1" customWidth="1"/>
    <col min="9" max="9" width="15.875" style="92" hidden="1" customWidth="1"/>
    <col min="10" max="10" width="13.00390625" style="92" hidden="1" customWidth="1"/>
    <col min="11" max="11" width="22.25390625" style="92" hidden="1" customWidth="1"/>
    <col min="12" max="12" width="17.25390625" style="92" hidden="1" customWidth="1"/>
    <col min="13" max="13" width="24.875" style="92" hidden="1" customWidth="1"/>
    <col min="14" max="14" width="13.875" style="92" hidden="1" customWidth="1"/>
    <col min="15" max="15" width="20.125" style="92" hidden="1" customWidth="1"/>
    <col min="16" max="16" width="16.875" style="92" hidden="1" customWidth="1"/>
    <col min="17" max="17" width="22.625" style="111" customWidth="1"/>
    <col min="18" max="18" width="15.00390625" style="92" customWidth="1"/>
    <col min="19" max="19" width="28.375" style="111" customWidth="1"/>
    <col min="20" max="16384" width="9.125" style="92" customWidth="1"/>
  </cols>
  <sheetData>
    <row r="1" spans="19:30" ht="16.7" customHeight="1">
      <c r="S1" s="137" t="s">
        <v>601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9:30" ht="12.75">
      <c r="S2" s="134" t="s">
        <v>276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9:30" ht="12.75">
      <c r="S3" s="134" t="s">
        <v>265</v>
      </c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19:30" ht="12.75">
      <c r="S4" s="134" t="s">
        <v>679</v>
      </c>
      <c r="T4" s="134"/>
      <c r="U4" s="134"/>
      <c r="V4" s="134"/>
      <c r="W4" s="134"/>
      <c r="X4" s="134"/>
      <c r="Y4" s="134"/>
      <c r="Z4" s="134"/>
      <c r="AA4" s="134"/>
      <c r="AB4" s="134"/>
      <c r="AD4" s="111"/>
    </row>
    <row r="5" spans="19:30" ht="12.75">
      <c r="S5" s="20"/>
      <c r="T5" s="75"/>
      <c r="U5" s="73"/>
      <c r="V5" s="73"/>
      <c r="W5" s="20"/>
      <c r="X5" s="20"/>
      <c r="Y5" s="20"/>
      <c r="Z5" s="20"/>
      <c r="AA5" s="20"/>
      <c r="AB5" s="20"/>
      <c r="AD5" s="111"/>
    </row>
    <row r="6" spans="19:30" ht="12.75">
      <c r="S6" s="20"/>
      <c r="T6" s="75"/>
      <c r="U6" s="73"/>
      <c r="V6" s="73"/>
      <c r="W6" s="20"/>
      <c r="X6" s="20"/>
      <c r="Y6" s="20"/>
      <c r="Z6" s="20"/>
      <c r="AA6" s="20"/>
      <c r="AB6" s="20"/>
      <c r="AD6" s="111"/>
    </row>
    <row r="7" spans="19:30" ht="16.7" customHeight="1">
      <c r="S7" s="138" t="s">
        <v>257</v>
      </c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9:30" ht="12.75">
      <c r="S8" s="134" t="s">
        <v>276</v>
      </c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9:30" ht="12.75">
      <c r="S9" s="134" t="s">
        <v>265</v>
      </c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</row>
    <row r="10" spans="19:30" ht="12.75">
      <c r="S10" s="134" t="s">
        <v>113</v>
      </c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6:7" ht="12.75">
      <c r="F11" s="73"/>
      <c r="G11" s="21"/>
    </row>
    <row r="12" spans="6:7" ht="12.75">
      <c r="F12" s="73"/>
      <c r="G12" s="21"/>
    </row>
    <row r="13" spans="6:7" ht="12.75">
      <c r="F13" s="73"/>
      <c r="G13" s="21"/>
    </row>
    <row r="14" spans="5:7" ht="12.75">
      <c r="E14" s="16"/>
      <c r="F14" s="16"/>
      <c r="G14" s="69"/>
    </row>
    <row r="15" spans="6:7" ht="12.75">
      <c r="F15" s="16"/>
      <c r="G15" s="69"/>
    </row>
    <row r="16" spans="1:7" ht="12.75">
      <c r="A16" s="160" t="s">
        <v>182</v>
      </c>
      <c r="B16" s="160"/>
      <c r="C16" s="160"/>
      <c r="D16" s="160"/>
      <c r="E16" s="160"/>
      <c r="F16" s="160"/>
      <c r="G16" s="160"/>
    </row>
    <row r="17" spans="1:7" ht="38.25" customHeight="1">
      <c r="A17" s="148" t="s">
        <v>405</v>
      </c>
      <c r="B17" s="148"/>
      <c r="C17" s="148"/>
      <c r="D17" s="148"/>
      <c r="E17" s="148"/>
      <c r="F17" s="148"/>
      <c r="G17" s="148"/>
    </row>
    <row r="18" spans="1:6" ht="12.75">
      <c r="A18" s="76"/>
      <c r="B18" s="88"/>
      <c r="C18" s="16"/>
      <c r="D18" s="16"/>
      <c r="E18" s="16"/>
      <c r="F18" s="16"/>
    </row>
    <row r="19" spans="2:26" ht="16.7" customHeight="1">
      <c r="B19" s="16"/>
      <c r="C19" s="16"/>
      <c r="D19" s="16"/>
      <c r="E19" s="16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94"/>
      <c r="Q19" s="32"/>
      <c r="R19" s="32"/>
      <c r="S19" s="32" t="s">
        <v>278</v>
      </c>
      <c r="T19" s="32"/>
      <c r="U19" s="32"/>
      <c r="V19" s="32"/>
      <c r="W19" s="32"/>
      <c r="X19" s="32"/>
      <c r="Y19" s="32"/>
      <c r="Z19" s="32"/>
    </row>
    <row r="20" spans="1:19" s="91" customFormat="1" ht="81.75" customHeight="1">
      <c r="A20" s="116" t="s">
        <v>217</v>
      </c>
      <c r="B20" s="115" t="s">
        <v>205</v>
      </c>
      <c r="C20" s="115" t="s">
        <v>218</v>
      </c>
      <c r="D20" s="115" t="s">
        <v>235</v>
      </c>
      <c r="E20" s="115" t="s">
        <v>236</v>
      </c>
      <c r="F20" s="115" t="s">
        <v>237</v>
      </c>
      <c r="G20" s="117" t="s">
        <v>597</v>
      </c>
      <c r="H20" s="116" t="s">
        <v>596</v>
      </c>
      <c r="I20" s="116" t="s">
        <v>598</v>
      </c>
      <c r="J20" s="116" t="s">
        <v>596</v>
      </c>
      <c r="K20" s="116" t="s">
        <v>631</v>
      </c>
      <c r="L20" s="116" t="s">
        <v>630</v>
      </c>
      <c r="M20" s="116" t="s">
        <v>635</v>
      </c>
      <c r="N20" s="116" t="s">
        <v>596</v>
      </c>
      <c r="O20" s="116" t="s">
        <v>644</v>
      </c>
      <c r="P20" s="116" t="s">
        <v>596</v>
      </c>
      <c r="Q20" s="116" t="s">
        <v>650</v>
      </c>
      <c r="R20" s="116" t="s">
        <v>596</v>
      </c>
      <c r="S20" s="133" t="s">
        <v>651</v>
      </c>
    </row>
    <row r="21" spans="1:19" s="91" customFormat="1" ht="12.75">
      <c r="A21" s="62" t="str">
        <f ca="1">IF(ISERROR(MATCH(B21,Код_ППП,0)),"",INDIRECT(ADDRESS(MATCH(B21,Код_ППП,0)+1,2,,,"ППП")))</f>
        <v>МЭРИЯ ГОРОДА</v>
      </c>
      <c r="B21" s="115">
        <v>801</v>
      </c>
      <c r="C21" s="8"/>
      <c r="D21" s="8"/>
      <c r="E21" s="115"/>
      <c r="F21" s="115"/>
      <c r="G21" s="70">
        <f>G22+G168+G226+G296+G326+G362</f>
        <v>465136.20000000007</v>
      </c>
      <c r="H21" s="70">
        <f>H22+H168+H226+H296+H326+H362</f>
        <v>0</v>
      </c>
      <c r="I21" s="70">
        <f>G21+H21</f>
        <v>465136.20000000007</v>
      </c>
      <c r="J21" s="70">
        <f>J22+J168+J226+J296+J326+J362</f>
        <v>10849.800000000003</v>
      </c>
      <c r="K21" s="87">
        <f>I21+J21</f>
        <v>475986.00000000006</v>
      </c>
      <c r="L21" s="13">
        <f>L22+L168+L226+L296+L326+L362</f>
        <v>-3492.2</v>
      </c>
      <c r="M21" s="87">
        <f>K21+L21</f>
        <v>472493.80000000005</v>
      </c>
      <c r="N21" s="13">
        <f>N22+N168+N226+N296+N326+N362</f>
        <v>805</v>
      </c>
      <c r="O21" s="87">
        <f>M21+N21</f>
        <v>473298.80000000005</v>
      </c>
      <c r="P21" s="13">
        <f>P22+P168+P226+P296+P326+P362</f>
        <v>12800</v>
      </c>
      <c r="Q21" s="87">
        <f>O21+P21</f>
        <v>486098.80000000005</v>
      </c>
      <c r="R21" s="13">
        <f>R22+R168+R226+R296+R326+R362</f>
        <v>-245.19999999999982</v>
      </c>
      <c r="S21" s="87">
        <f>Q21+R21</f>
        <v>485853.60000000003</v>
      </c>
    </row>
    <row r="22" spans="1:19" s="91" customFormat="1" ht="12.75">
      <c r="A22" s="62" t="str">
        <f ca="1">IF(ISERROR(MATCH(C22,Код_Раздел,0)),"",INDIRECT(ADDRESS(MATCH(C22,Код_Раздел,0)+1,2,,,"Раздел")))</f>
        <v>Общегосударственные  вопросы</v>
      </c>
      <c r="B22" s="115">
        <v>801</v>
      </c>
      <c r="C22" s="8" t="s">
        <v>221</v>
      </c>
      <c r="D22" s="8"/>
      <c r="E22" s="115"/>
      <c r="F22" s="115"/>
      <c r="G22" s="70">
        <f>G23+G30+G62+G69</f>
        <v>248789</v>
      </c>
      <c r="H22" s="70">
        <f>H23+H30+H62+H69</f>
        <v>0</v>
      </c>
      <c r="I22" s="70">
        <f aca="true" t="shared" si="0" ref="I22:I91">G22+H22</f>
        <v>248789</v>
      </c>
      <c r="J22" s="70">
        <f>J23+J30+J62+J69</f>
        <v>9039.400000000001</v>
      </c>
      <c r="K22" s="87">
        <f aca="true" t="shared" si="1" ref="K22:K91">I22+J22</f>
        <v>257828.4</v>
      </c>
      <c r="L22" s="13">
        <f>L23+L30+L62+L69</f>
        <v>754.3</v>
      </c>
      <c r="M22" s="87">
        <f aca="true" t="shared" si="2" ref="M22:M90">K22+L22</f>
        <v>258582.69999999998</v>
      </c>
      <c r="N22" s="13">
        <f>N23+N30+N62+N69</f>
        <v>450.5</v>
      </c>
      <c r="O22" s="87">
        <f aca="true" t="shared" si="3" ref="O22:O90">M22+N22</f>
        <v>259033.19999999998</v>
      </c>
      <c r="P22" s="13">
        <f>P23+P30+P62+P69</f>
        <v>0</v>
      </c>
      <c r="Q22" s="87">
        <f aca="true" t="shared" si="4" ref="Q22:Q88">O22+P22</f>
        <v>259033.19999999998</v>
      </c>
      <c r="R22" s="13">
        <f>R23+R30+R62+R69</f>
        <v>1721.4</v>
      </c>
      <c r="S22" s="87">
        <f aca="true" t="shared" si="5" ref="S22:S88">Q22+R22</f>
        <v>260754.59999999998</v>
      </c>
    </row>
    <row r="23" spans="1:19" s="91" customFormat="1" ht="33">
      <c r="A23" s="77" t="s">
        <v>241</v>
      </c>
      <c r="B23" s="115">
        <v>801</v>
      </c>
      <c r="C23" s="8" t="s">
        <v>221</v>
      </c>
      <c r="D23" s="8" t="s">
        <v>222</v>
      </c>
      <c r="E23" s="115"/>
      <c r="F23" s="115"/>
      <c r="G23" s="70">
        <f aca="true" t="shared" si="6" ref="G23:R28">G24</f>
        <v>2998</v>
      </c>
      <c r="H23" s="70">
        <f t="shared" si="6"/>
        <v>0</v>
      </c>
      <c r="I23" s="70">
        <f t="shared" si="0"/>
        <v>2998</v>
      </c>
      <c r="J23" s="70">
        <f t="shared" si="6"/>
        <v>0</v>
      </c>
      <c r="K23" s="87">
        <f t="shared" si="1"/>
        <v>2998</v>
      </c>
      <c r="L23" s="13">
        <f t="shared" si="6"/>
        <v>0</v>
      </c>
      <c r="M23" s="87">
        <f t="shared" si="2"/>
        <v>2998</v>
      </c>
      <c r="N23" s="13">
        <f t="shared" si="6"/>
        <v>0</v>
      </c>
      <c r="O23" s="87">
        <f t="shared" si="3"/>
        <v>2998</v>
      </c>
      <c r="P23" s="13">
        <f t="shared" si="6"/>
        <v>0</v>
      </c>
      <c r="Q23" s="87">
        <f t="shared" si="4"/>
        <v>2998</v>
      </c>
      <c r="R23" s="13">
        <f t="shared" si="6"/>
        <v>0</v>
      </c>
      <c r="S23" s="87">
        <f t="shared" si="5"/>
        <v>2998</v>
      </c>
    </row>
    <row r="24" spans="1:19" s="91" customFormat="1" ht="33">
      <c r="A24" s="62" t="str">
        <f ca="1">IF(ISERROR(MATCH(E24,Код_КЦСР,0)),"",INDIRECT(ADDRESS(MATCH(E24,Код_КЦСР,0)+1,2,,,"КЦСР")))</f>
        <v>Непрограммные направления деятельности органов местного самоуправления</v>
      </c>
      <c r="B24" s="115">
        <v>801</v>
      </c>
      <c r="C24" s="8" t="s">
        <v>221</v>
      </c>
      <c r="D24" s="8" t="s">
        <v>222</v>
      </c>
      <c r="E24" s="115" t="s">
        <v>307</v>
      </c>
      <c r="F24" s="115"/>
      <c r="G24" s="70">
        <f t="shared" si="6"/>
        <v>2998</v>
      </c>
      <c r="H24" s="70">
        <f t="shared" si="6"/>
        <v>0</v>
      </c>
      <c r="I24" s="70">
        <f t="shared" si="0"/>
        <v>2998</v>
      </c>
      <c r="J24" s="70">
        <f t="shared" si="6"/>
        <v>0</v>
      </c>
      <c r="K24" s="87">
        <f t="shared" si="1"/>
        <v>2998</v>
      </c>
      <c r="L24" s="13">
        <f t="shared" si="6"/>
        <v>0</v>
      </c>
      <c r="M24" s="87">
        <f t="shared" si="2"/>
        <v>2998</v>
      </c>
      <c r="N24" s="13">
        <f t="shared" si="6"/>
        <v>0</v>
      </c>
      <c r="O24" s="87">
        <f t="shared" si="3"/>
        <v>2998</v>
      </c>
      <c r="P24" s="13">
        <f t="shared" si="6"/>
        <v>0</v>
      </c>
      <c r="Q24" s="87">
        <f t="shared" si="4"/>
        <v>2998</v>
      </c>
      <c r="R24" s="13">
        <f t="shared" si="6"/>
        <v>0</v>
      </c>
      <c r="S24" s="87">
        <f t="shared" si="5"/>
        <v>2998</v>
      </c>
    </row>
    <row r="25" spans="1:19" s="91" customFormat="1" ht="12.75">
      <c r="A25" s="62" t="str">
        <f ca="1">IF(ISERROR(MATCH(E25,Код_КЦСР,0)),"",INDIRECT(ADDRESS(MATCH(E25,Код_КЦСР,0)+1,2,,,"КЦСР")))</f>
        <v>Расходы, не включенные в муниципальные программы города Череповца</v>
      </c>
      <c r="B25" s="115">
        <v>801</v>
      </c>
      <c r="C25" s="8" t="s">
        <v>221</v>
      </c>
      <c r="D25" s="8" t="s">
        <v>222</v>
      </c>
      <c r="E25" s="115" t="s">
        <v>309</v>
      </c>
      <c r="F25" s="115"/>
      <c r="G25" s="70">
        <f t="shared" si="6"/>
        <v>2998</v>
      </c>
      <c r="H25" s="70">
        <f t="shared" si="6"/>
        <v>0</v>
      </c>
      <c r="I25" s="70">
        <f t="shared" si="0"/>
        <v>2998</v>
      </c>
      <c r="J25" s="70">
        <f t="shared" si="6"/>
        <v>0</v>
      </c>
      <c r="K25" s="87">
        <f t="shared" si="1"/>
        <v>2998</v>
      </c>
      <c r="L25" s="13">
        <f t="shared" si="6"/>
        <v>0</v>
      </c>
      <c r="M25" s="87">
        <f t="shared" si="2"/>
        <v>2998</v>
      </c>
      <c r="N25" s="13">
        <f t="shared" si="6"/>
        <v>0</v>
      </c>
      <c r="O25" s="87">
        <f t="shared" si="3"/>
        <v>2998</v>
      </c>
      <c r="P25" s="13">
        <f t="shared" si="6"/>
        <v>0</v>
      </c>
      <c r="Q25" s="87">
        <f t="shared" si="4"/>
        <v>2998</v>
      </c>
      <c r="R25" s="13">
        <f t="shared" si="6"/>
        <v>0</v>
      </c>
      <c r="S25" s="87">
        <f t="shared" si="5"/>
        <v>2998</v>
      </c>
    </row>
    <row r="26" spans="1:19" s="91" customFormat="1" ht="33">
      <c r="A26" s="62" t="str">
        <f ca="1">IF(ISERROR(MATCH(E26,Код_КЦСР,0)),"",INDIRECT(ADDRESS(MATCH(E26,Код_КЦСР,0)+1,2,,,"КЦСР")))</f>
        <v>Руководство и управление в сфере установленных функций органов местного самоуправления</v>
      </c>
      <c r="B26" s="115">
        <v>801</v>
      </c>
      <c r="C26" s="8" t="s">
        <v>221</v>
      </c>
      <c r="D26" s="8" t="s">
        <v>222</v>
      </c>
      <c r="E26" s="115" t="s">
        <v>311</v>
      </c>
      <c r="F26" s="115"/>
      <c r="G26" s="70">
        <f t="shared" si="6"/>
        <v>2998</v>
      </c>
      <c r="H26" s="70">
        <f t="shared" si="6"/>
        <v>0</v>
      </c>
      <c r="I26" s="70">
        <f t="shared" si="0"/>
        <v>2998</v>
      </c>
      <c r="J26" s="70">
        <f t="shared" si="6"/>
        <v>0</v>
      </c>
      <c r="K26" s="87">
        <f t="shared" si="1"/>
        <v>2998</v>
      </c>
      <c r="L26" s="13">
        <f t="shared" si="6"/>
        <v>0</v>
      </c>
      <c r="M26" s="87">
        <f t="shared" si="2"/>
        <v>2998</v>
      </c>
      <c r="N26" s="13">
        <f t="shared" si="6"/>
        <v>0</v>
      </c>
      <c r="O26" s="87">
        <f t="shared" si="3"/>
        <v>2998</v>
      </c>
      <c r="P26" s="13">
        <f t="shared" si="6"/>
        <v>0</v>
      </c>
      <c r="Q26" s="87">
        <f t="shared" si="4"/>
        <v>2998</v>
      </c>
      <c r="R26" s="13">
        <f t="shared" si="6"/>
        <v>0</v>
      </c>
      <c r="S26" s="87">
        <f t="shared" si="5"/>
        <v>2998</v>
      </c>
    </row>
    <row r="27" spans="1:19" s="91" customFormat="1" ht="12.75">
      <c r="A27" s="62" t="str">
        <f ca="1">IF(ISERROR(MATCH(E27,Код_КЦСР,0)),"",INDIRECT(ADDRESS(MATCH(E27,Код_КЦСР,0)+1,2,,,"КЦСР")))</f>
        <v>Глава муниципального образования</v>
      </c>
      <c r="B27" s="115">
        <v>801</v>
      </c>
      <c r="C27" s="8" t="s">
        <v>221</v>
      </c>
      <c r="D27" s="8" t="s">
        <v>222</v>
      </c>
      <c r="E27" s="115" t="s">
        <v>313</v>
      </c>
      <c r="F27" s="115"/>
      <c r="G27" s="70">
        <f t="shared" si="6"/>
        <v>2998</v>
      </c>
      <c r="H27" s="70">
        <f t="shared" si="6"/>
        <v>0</v>
      </c>
      <c r="I27" s="70">
        <f t="shared" si="0"/>
        <v>2998</v>
      </c>
      <c r="J27" s="70">
        <f t="shared" si="6"/>
        <v>0</v>
      </c>
      <c r="K27" s="87">
        <f t="shared" si="1"/>
        <v>2998</v>
      </c>
      <c r="L27" s="13">
        <f t="shared" si="6"/>
        <v>0</v>
      </c>
      <c r="M27" s="87">
        <f t="shared" si="2"/>
        <v>2998</v>
      </c>
      <c r="N27" s="13">
        <f t="shared" si="6"/>
        <v>0</v>
      </c>
      <c r="O27" s="87">
        <f t="shared" si="3"/>
        <v>2998</v>
      </c>
      <c r="P27" s="13">
        <f t="shared" si="6"/>
        <v>0</v>
      </c>
      <c r="Q27" s="87">
        <f t="shared" si="4"/>
        <v>2998</v>
      </c>
      <c r="R27" s="13">
        <f t="shared" si="6"/>
        <v>0</v>
      </c>
      <c r="S27" s="87">
        <f t="shared" si="5"/>
        <v>2998</v>
      </c>
    </row>
    <row r="28" spans="1:19" s="91" customFormat="1" ht="33">
      <c r="A28" s="62" t="str">
        <f ca="1">IF(ISERROR(MATCH(F28,Код_КВР,0)),"",INDIRECT(ADDRESS(MATCH(F28,Код_КВР,0)+1,2,,,"КВР")))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8" s="115">
        <v>801</v>
      </c>
      <c r="C28" s="8" t="s">
        <v>221</v>
      </c>
      <c r="D28" s="8" t="s">
        <v>222</v>
      </c>
      <c r="E28" s="115" t="s">
        <v>313</v>
      </c>
      <c r="F28" s="115">
        <v>100</v>
      </c>
      <c r="G28" s="70">
        <f t="shared" si="6"/>
        <v>2998</v>
      </c>
      <c r="H28" s="70">
        <f t="shared" si="6"/>
        <v>0</v>
      </c>
      <c r="I28" s="70">
        <f t="shared" si="0"/>
        <v>2998</v>
      </c>
      <c r="J28" s="70">
        <f t="shared" si="6"/>
        <v>0</v>
      </c>
      <c r="K28" s="87">
        <f t="shared" si="1"/>
        <v>2998</v>
      </c>
      <c r="L28" s="13">
        <f t="shared" si="6"/>
        <v>0</v>
      </c>
      <c r="M28" s="87">
        <f t="shared" si="2"/>
        <v>2998</v>
      </c>
      <c r="N28" s="13">
        <f t="shared" si="6"/>
        <v>0</v>
      </c>
      <c r="O28" s="87">
        <f t="shared" si="3"/>
        <v>2998</v>
      </c>
      <c r="P28" s="13">
        <f t="shared" si="6"/>
        <v>0</v>
      </c>
      <c r="Q28" s="87">
        <f t="shared" si="4"/>
        <v>2998</v>
      </c>
      <c r="R28" s="13">
        <f t="shared" si="6"/>
        <v>0</v>
      </c>
      <c r="S28" s="87">
        <f t="shared" si="5"/>
        <v>2998</v>
      </c>
    </row>
    <row r="29" spans="1:19" s="91" customFormat="1" ht="12.75">
      <c r="A29" s="62" t="str">
        <f ca="1">IF(ISERROR(MATCH(F29,Код_КВР,0)),"",INDIRECT(ADDRESS(MATCH(F29,Код_КВР,0)+1,2,,,"КВР")))</f>
        <v>Расходы на выплаты персоналу муниципальных органов</v>
      </c>
      <c r="B29" s="115">
        <v>801</v>
      </c>
      <c r="C29" s="8" t="s">
        <v>221</v>
      </c>
      <c r="D29" s="8" t="s">
        <v>222</v>
      </c>
      <c r="E29" s="115" t="s">
        <v>313</v>
      </c>
      <c r="F29" s="115">
        <v>120</v>
      </c>
      <c r="G29" s="70">
        <v>2998</v>
      </c>
      <c r="H29" s="65"/>
      <c r="I29" s="70">
        <f t="shared" si="0"/>
        <v>2998</v>
      </c>
      <c r="J29" s="65"/>
      <c r="K29" s="87">
        <f t="shared" si="1"/>
        <v>2998</v>
      </c>
      <c r="L29" s="87"/>
      <c r="M29" s="87">
        <f t="shared" si="2"/>
        <v>2998</v>
      </c>
      <c r="N29" s="87"/>
      <c r="O29" s="87">
        <f t="shared" si="3"/>
        <v>2998</v>
      </c>
      <c r="P29" s="87"/>
      <c r="Q29" s="87">
        <f t="shared" si="4"/>
        <v>2998</v>
      </c>
      <c r="R29" s="87"/>
      <c r="S29" s="87">
        <f t="shared" si="5"/>
        <v>2998</v>
      </c>
    </row>
    <row r="30" spans="1:19" s="91" customFormat="1" ht="49.5">
      <c r="A30" s="78" t="s">
        <v>243</v>
      </c>
      <c r="B30" s="115">
        <v>801</v>
      </c>
      <c r="C30" s="8" t="s">
        <v>221</v>
      </c>
      <c r="D30" s="8" t="s">
        <v>224</v>
      </c>
      <c r="E30" s="115"/>
      <c r="F30" s="115"/>
      <c r="G30" s="70">
        <f>G31</f>
        <v>126109.40000000001</v>
      </c>
      <c r="H30" s="70">
        <f aca="true" t="shared" si="7" ref="H30:R31">H31</f>
        <v>0</v>
      </c>
      <c r="I30" s="70">
        <f t="shared" si="0"/>
        <v>126109.40000000001</v>
      </c>
      <c r="J30" s="70">
        <f t="shared" si="7"/>
        <v>0</v>
      </c>
      <c r="K30" s="87">
        <f t="shared" si="1"/>
        <v>126109.40000000001</v>
      </c>
      <c r="L30" s="13">
        <f t="shared" si="7"/>
        <v>0</v>
      </c>
      <c r="M30" s="87">
        <f t="shared" si="2"/>
        <v>126109.40000000001</v>
      </c>
      <c r="N30" s="13">
        <f t="shared" si="7"/>
        <v>222.5</v>
      </c>
      <c r="O30" s="87">
        <f t="shared" si="3"/>
        <v>126331.90000000001</v>
      </c>
      <c r="P30" s="13">
        <f t="shared" si="7"/>
        <v>0</v>
      </c>
      <c r="Q30" s="87">
        <f t="shared" si="4"/>
        <v>126331.90000000001</v>
      </c>
      <c r="R30" s="13">
        <f t="shared" si="7"/>
        <v>1562.5</v>
      </c>
      <c r="S30" s="87">
        <f t="shared" si="5"/>
        <v>127894.40000000001</v>
      </c>
    </row>
    <row r="31" spans="1:19" s="91" customFormat="1" ht="33">
      <c r="A31" s="62" t="str">
        <f ca="1">IF(ISERROR(MATCH(E31,Код_КЦСР,0)),"",INDIRECT(ADDRESS(MATCH(E31,Код_КЦСР,0)+1,2,,,"КЦСР")))</f>
        <v>Непрограммные направления деятельности органов местного самоуправления</v>
      </c>
      <c r="B31" s="115">
        <v>801</v>
      </c>
      <c r="C31" s="8" t="s">
        <v>221</v>
      </c>
      <c r="D31" s="8" t="s">
        <v>224</v>
      </c>
      <c r="E31" s="115" t="s">
        <v>307</v>
      </c>
      <c r="F31" s="115"/>
      <c r="G31" s="70">
        <f>G32</f>
        <v>126109.40000000001</v>
      </c>
      <c r="H31" s="70">
        <f t="shared" si="7"/>
        <v>0</v>
      </c>
      <c r="I31" s="70">
        <f t="shared" si="0"/>
        <v>126109.40000000001</v>
      </c>
      <c r="J31" s="70">
        <f t="shared" si="7"/>
        <v>0</v>
      </c>
      <c r="K31" s="87">
        <f t="shared" si="1"/>
        <v>126109.40000000001</v>
      </c>
      <c r="L31" s="13">
        <f t="shared" si="7"/>
        <v>0</v>
      </c>
      <c r="M31" s="87">
        <f t="shared" si="2"/>
        <v>126109.40000000001</v>
      </c>
      <c r="N31" s="13">
        <f t="shared" si="7"/>
        <v>222.5</v>
      </c>
      <c r="O31" s="87">
        <f t="shared" si="3"/>
        <v>126331.90000000001</v>
      </c>
      <c r="P31" s="13">
        <f t="shared" si="7"/>
        <v>0</v>
      </c>
      <c r="Q31" s="87">
        <f t="shared" si="4"/>
        <v>126331.90000000001</v>
      </c>
      <c r="R31" s="13">
        <f t="shared" si="7"/>
        <v>1562.5</v>
      </c>
      <c r="S31" s="87">
        <f t="shared" si="5"/>
        <v>127894.40000000001</v>
      </c>
    </row>
    <row r="32" spans="1:19" s="91" customFormat="1" ht="12.75">
      <c r="A32" s="62" t="str">
        <f ca="1">IF(ISERROR(MATCH(E32,Код_КЦСР,0)),"",INDIRECT(ADDRESS(MATCH(E32,Код_КЦСР,0)+1,2,,,"КЦСР")))</f>
        <v>Расходы, не включенные в муниципальные программы города Череповца</v>
      </c>
      <c r="B32" s="115">
        <v>801</v>
      </c>
      <c r="C32" s="8" t="s">
        <v>221</v>
      </c>
      <c r="D32" s="8" t="s">
        <v>224</v>
      </c>
      <c r="E32" s="115" t="s">
        <v>309</v>
      </c>
      <c r="F32" s="115"/>
      <c r="G32" s="70">
        <f>G33+G43+G49+G52+G59</f>
        <v>126109.40000000001</v>
      </c>
      <c r="H32" s="70">
        <f>H33+H43+H49+H52+H59</f>
        <v>0</v>
      </c>
      <c r="I32" s="70">
        <f t="shared" si="0"/>
        <v>126109.40000000001</v>
      </c>
      <c r="J32" s="70">
        <f>J33+J43+J49+J52+J59</f>
        <v>0</v>
      </c>
      <c r="K32" s="87">
        <f t="shared" si="1"/>
        <v>126109.40000000001</v>
      </c>
      <c r="L32" s="13">
        <f>L33+L43+L49+L52+L59</f>
        <v>0</v>
      </c>
      <c r="M32" s="87">
        <f t="shared" si="2"/>
        <v>126109.40000000001</v>
      </c>
      <c r="N32" s="13">
        <f>N33+N43+N49+N52+N59</f>
        <v>222.5</v>
      </c>
      <c r="O32" s="87">
        <f t="shared" si="3"/>
        <v>126331.90000000001</v>
      </c>
      <c r="P32" s="13">
        <f>P33+P43+P49+P52+P59</f>
        <v>0</v>
      </c>
      <c r="Q32" s="87">
        <f t="shared" si="4"/>
        <v>126331.90000000001</v>
      </c>
      <c r="R32" s="13">
        <f>R33+R43+R49+R52+R59+R56</f>
        <v>1562.5</v>
      </c>
      <c r="S32" s="87">
        <f t="shared" si="5"/>
        <v>127894.40000000001</v>
      </c>
    </row>
    <row r="33" spans="1:19" s="91" customFormat="1" ht="33">
      <c r="A33" s="62" t="str">
        <f ca="1">IF(ISERROR(MATCH(E33,Код_КЦСР,0)),"",INDIRECT(ADDRESS(MATCH(E33,Код_КЦСР,0)+1,2,,,"КЦСР")))</f>
        <v>Руководство и управление в сфере установленных функций органов местного самоуправления</v>
      </c>
      <c r="B33" s="115">
        <v>801</v>
      </c>
      <c r="C33" s="8" t="s">
        <v>221</v>
      </c>
      <c r="D33" s="8" t="s">
        <v>224</v>
      </c>
      <c r="E33" s="115" t="s">
        <v>311</v>
      </c>
      <c r="F33" s="115"/>
      <c r="G33" s="70">
        <f>G34</f>
        <v>124245.5</v>
      </c>
      <c r="H33" s="70">
        <f aca="true" t="shared" si="8" ref="H33:R33">H34</f>
        <v>0</v>
      </c>
      <c r="I33" s="70">
        <f t="shared" si="0"/>
        <v>124245.5</v>
      </c>
      <c r="J33" s="70">
        <f t="shared" si="8"/>
        <v>0</v>
      </c>
      <c r="K33" s="87">
        <f t="shared" si="1"/>
        <v>124245.5</v>
      </c>
      <c r="L33" s="13">
        <f t="shared" si="8"/>
        <v>0</v>
      </c>
      <c r="M33" s="87">
        <f t="shared" si="2"/>
        <v>124245.5</v>
      </c>
      <c r="N33" s="13">
        <f t="shared" si="8"/>
        <v>222.5</v>
      </c>
      <c r="O33" s="87">
        <f t="shared" si="3"/>
        <v>124468</v>
      </c>
      <c r="P33" s="13">
        <f t="shared" si="8"/>
        <v>0</v>
      </c>
      <c r="Q33" s="87">
        <f t="shared" si="4"/>
        <v>124468</v>
      </c>
      <c r="R33" s="13">
        <f t="shared" si="8"/>
        <v>885.8</v>
      </c>
      <c r="S33" s="87">
        <f t="shared" si="5"/>
        <v>125353.8</v>
      </c>
    </row>
    <row r="34" spans="1:19" s="91" customFormat="1" ht="12.75">
      <c r="A34" s="97" t="str">
        <f ca="1">IF(ISERROR(MATCH(E34,Код_КЦСР,0)),"",INDIRECT(ADDRESS(MATCH(E34,Код_КЦСР,0)+1,2,,,"КЦСР")))</f>
        <v>Центральный аппарат</v>
      </c>
      <c r="B34" s="96">
        <v>801</v>
      </c>
      <c r="C34" s="99" t="s">
        <v>221</v>
      </c>
      <c r="D34" s="99" t="s">
        <v>224</v>
      </c>
      <c r="E34" s="96" t="s">
        <v>314</v>
      </c>
      <c r="F34" s="96"/>
      <c r="G34" s="105">
        <f>G35+G37+G40</f>
        <v>124245.5</v>
      </c>
      <c r="H34" s="105">
        <f aca="true" t="shared" si="9" ref="H34:J34">H35+H37+H40</f>
        <v>0</v>
      </c>
      <c r="I34" s="105">
        <f t="shared" si="0"/>
        <v>124245.5</v>
      </c>
      <c r="J34" s="105">
        <f t="shared" si="9"/>
        <v>0</v>
      </c>
      <c r="K34" s="106">
        <f t="shared" si="1"/>
        <v>124245.5</v>
      </c>
      <c r="L34" s="107">
        <f aca="true" t="shared" si="10" ref="L34">L35+L37+L40</f>
        <v>0</v>
      </c>
      <c r="M34" s="106">
        <f t="shared" si="2"/>
        <v>124245.5</v>
      </c>
      <c r="N34" s="107">
        <f>N35+N37+N40</f>
        <v>222.5</v>
      </c>
      <c r="O34" s="106">
        <f t="shared" si="3"/>
        <v>124468</v>
      </c>
      <c r="P34" s="107">
        <f>P35+P37+P40</f>
        <v>0</v>
      </c>
      <c r="Q34" s="87">
        <f t="shared" si="4"/>
        <v>124468</v>
      </c>
      <c r="R34" s="107">
        <f>R35+R37+R40</f>
        <v>885.8</v>
      </c>
      <c r="S34" s="87">
        <f t="shared" si="5"/>
        <v>125353.8</v>
      </c>
    </row>
    <row r="35" spans="1:19" s="91" customFormat="1" ht="33">
      <c r="A35" s="97" t="str">
        <f aca="true" t="shared" si="11" ref="A35:A41">IF(ISERROR(MATCH(F35,Код_КВР,0)),"",INDIRECT(ADDRESS(MATCH(F35,Код_КВР,0)+1,2,,,"КВР")))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" s="96">
        <v>801</v>
      </c>
      <c r="C35" s="99" t="s">
        <v>221</v>
      </c>
      <c r="D35" s="99" t="s">
        <v>224</v>
      </c>
      <c r="E35" s="96" t="s">
        <v>314</v>
      </c>
      <c r="F35" s="96">
        <v>100</v>
      </c>
      <c r="G35" s="105">
        <f>G36</f>
        <v>120035.7</v>
      </c>
      <c r="H35" s="105">
        <f>H36</f>
        <v>0</v>
      </c>
      <c r="I35" s="105">
        <f t="shared" si="0"/>
        <v>120035.7</v>
      </c>
      <c r="J35" s="105">
        <f>J36</f>
        <v>0</v>
      </c>
      <c r="K35" s="106">
        <f t="shared" si="1"/>
        <v>120035.7</v>
      </c>
      <c r="L35" s="107">
        <f>L36</f>
        <v>0</v>
      </c>
      <c r="M35" s="106">
        <f t="shared" si="2"/>
        <v>120035.7</v>
      </c>
      <c r="N35" s="107">
        <f>N36</f>
        <v>-0.5</v>
      </c>
      <c r="O35" s="106">
        <f t="shared" si="3"/>
        <v>120035.2</v>
      </c>
      <c r="P35" s="107">
        <f>P36</f>
        <v>0</v>
      </c>
      <c r="Q35" s="87">
        <f t="shared" si="4"/>
        <v>120035.2</v>
      </c>
      <c r="R35" s="107">
        <f>R36</f>
        <v>900</v>
      </c>
      <c r="S35" s="87">
        <f t="shared" si="5"/>
        <v>120935.2</v>
      </c>
    </row>
    <row r="36" spans="1:19" s="91" customFormat="1" ht="12.75">
      <c r="A36" s="97" t="str">
        <f ca="1" t="shared" si="11"/>
        <v>Расходы на выплаты персоналу муниципальных органов</v>
      </c>
      <c r="B36" s="96">
        <v>801</v>
      </c>
      <c r="C36" s="99" t="s">
        <v>221</v>
      </c>
      <c r="D36" s="99" t="s">
        <v>224</v>
      </c>
      <c r="E36" s="96" t="s">
        <v>314</v>
      </c>
      <c r="F36" s="96">
        <v>120</v>
      </c>
      <c r="G36" s="105">
        <v>120035.7</v>
      </c>
      <c r="H36" s="108"/>
      <c r="I36" s="105">
        <f t="shared" si="0"/>
        <v>120035.7</v>
      </c>
      <c r="J36" s="108"/>
      <c r="K36" s="106">
        <f t="shared" si="1"/>
        <v>120035.7</v>
      </c>
      <c r="L36" s="106"/>
      <c r="M36" s="106">
        <f t="shared" si="2"/>
        <v>120035.7</v>
      </c>
      <c r="N36" s="106">
        <v>-0.5</v>
      </c>
      <c r="O36" s="106">
        <f t="shared" si="3"/>
        <v>120035.2</v>
      </c>
      <c r="P36" s="106"/>
      <c r="Q36" s="87">
        <f t="shared" si="4"/>
        <v>120035.2</v>
      </c>
      <c r="R36" s="106">
        <f>1074.7-174.7</f>
        <v>900</v>
      </c>
      <c r="S36" s="87">
        <f t="shared" si="5"/>
        <v>120935.2</v>
      </c>
    </row>
    <row r="37" spans="1:19" s="91" customFormat="1" ht="12.75">
      <c r="A37" s="62" t="str">
        <f ca="1" t="shared" si="11"/>
        <v>Закупка товаров, работ и услуг для муниципальных нужд</v>
      </c>
      <c r="B37" s="115">
        <v>801</v>
      </c>
      <c r="C37" s="8" t="s">
        <v>221</v>
      </c>
      <c r="D37" s="8" t="s">
        <v>224</v>
      </c>
      <c r="E37" s="115" t="s">
        <v>314</v>
      </c>
      <c r="F37" s="115">
        <v>200</v>
      </c>
      <c r="G37" s="70">
        <f>G38</f>
        <v>4207.8</v>
      </c>
      <c r="H37" s="70">
        <f>H38</f>
        <v>0</v>
      </c>
      <c r="I37" s="70">
        <f t="shared" si="0"/>
        <v>4207.8</v>
      </c>
      <c r="J37" s="70">
        <f>J38</f>
        <v>0</v>
      </c>
      <c r="K37" s="87">
        <f t="shared" si="1"/>
        <v>4207.8</v>
      </c>
      <c r="L37" s="13">
        <f>L38</f>
        <v>0</v>
      </c>
      <c r="M37" s="87">
        <f t="shared" si="2"/>
        <v>4207.8</v>
      </c>
      <c r="N37" s="13">
        <f>N38</f>
        <v>223</v>
      </c>
      <c r="O37" s="87">
        <f t="shared" si="3"/>
        <v>4430.8</v>
      </c>
      <c r="P37" s="13">
        <f>P38</f>
        <v>0</v>
      </c>
      <c r="Q37" s="87">
        <f t="shared" si="4"/>
        <v>4430.8</v>
      </c>
      <c r="R37" s="13">
        <f>R38</f>
        <v>-14.2</v>
      </c>
      <c r="S37" s="87">
        <f t="shared" si="5"/>
        <v>4416.6</v>
      </c>
    </row>
    <row r="38" spans="1:19" s="91" customFormat="1" ht="33">
      <c r="A38" s="62" t="str">
        <f ca="1" t="shared" si="11"/>
        <v>Иные закупки товаров, работ и услуг для обеспечения муниципальных нужд</v>
      </c>
      <c r="B38" s="115">
        <v>801</v>
      </c>
      <c r="C38" s="8" t="s">
        <v>221</v>
      </c>
      <c r="D38" s="8" t="s">
        <v>224</v>
      </c>
      <c r="E38" s="115" t="s">
        <v>314</v>
      </c>
      <c r="F38" s="115">
        <v>240</v>
      </c>
      <c r="G38" s="70">
        <f>G39</f>
        <v>4207.8</v>
      </c>
      <c r="H38" s="70">
        <f>H39</f>
        <v>0</v>
      </c>
      <c r="I38" s="70">
        <f t="shared" si="0"/>
        <v>4207.8</v>
      </c>
      <c r="J38" s="70">
        <f>J39</f>
        <v>0</v>
      </c>
      <c r="K38" s="87">
        <f t="shared" si="1"/>
        <v>4207.8</v>
      </c>
      <c r="L38" s="13">
        <f>L39</f>
        <v>0</v>
      </c>
      <c r="M38" s="87">
        <f t="shared" si="2"/>
        <v>4207.8</v>
      </c>
      <c r="N38" s="13">
        <f>N39</f>
        <v>223</v>
      </c>
      <c r="O38" s="87">
        <f t="shared" si="3"/>
        <v>4430.8</v>
      </c>
      <c r="P38" s="13">
        <f>P39</f>
        <v>0</v>
      </c>
      <c r="Q38" s="87">
        <f t="shared" si="4"/>
        <v>4430.8</v>
      </c>
      <c r="R38" s="13">
        <f>R39</f>
        <v>-14.2</v>
      </c>
      <c r="S38" s="87">
        <f t="shared" si="5"/>
        <v>4416.6</v>
      </c>
    </row>
    <row r="39" spans="1:19" s="91" customFormat="1" ht="33">
      <c r="A39" s="62" t="str">
        <f ca="1" t="shared" si="11"/>
        <v xml:space="preserve">Прочая закупка товаров, работ и услуг для обеспечения муниципальных нужд         </v>
      </c>
      <c r="B39" s="115">
        <v>801</v>
      </c>
      <c r="C39" s="8" t="s">
        <v>221</v>
      </c>
      <c r="D39" s="8" t="s">
        <v>224</v>
      </c>
      <c r="E39" s="115" t="s">
        <v>314</v>
      </c>
      <c r="F39" s="115">
        <v>244</v>
      </c>
      <c r="G39" s="70">
        <v>4207.8</v>
      </c>
      <c r="H39" s="65"/>
      <c r="I39" s="70">
        <f t="shared" si="0"/>
        <v>4207.8</v>
      </c>
      <c r="J39" s="65"/>
      <c r="K39" s="87">
        <f t="shared" si="1"/>
        <v>4207.8</v>
      </c>
      <c r="L39" s="87"/>
      <c r="M39" s="87">
        <f t="shared" si="2"/>
        <v>4207.8</v>
      </c>
      <c r="N39" s="87">
        <v>223</v>
      </c>
      <c r="O39" s="87">
        <f t="shared" si="3"/>
        <v>4430.8</v>
      </c>
      <c r="P39" s="87"/>
      <c r="Q39" s="87">
        <f t="shared" si="4"/>
        <v>4430.8</v>
      </c>
      <c r="R39" s="87">
        <f>-14.2</f>
        <v>-14.2</v>
      </c>
      <c r="S39" s="87">
        <f t="shared" si="5"/>
        <v>4416.6</v>
      </c>
    </row>
    <row r="40" spans="1:19" s="91" customFormat="1" ht="12.75">
      <c r="A40" s="62" t="str">
        <f ca="1" t="shared" si="11"/>
        <v>Иные бюджетные ассигнования</v>
      </c>
      <c r="B40" s="115">
        <v>801</v>
      </c>
      <c r="C40" s="8" t="s">
        <v>221</v>
      </c>
      <c r="D40" s="8" t="s">
        <v>224</v>
      </c>
      <c r="E40" s="115" t="s">
        <v>314</v>
      </c>
      <c r="F40" s="115">
        <v>800</v>
      </c>
      <c r="G40" s="70">
        <f>G41</f>
        <v>2</v>
      </c>
      <c r="H40" s="70">
        <f>H41</f>
        <v>0</v>
      </c>
      <c r="I40" s="70">
        <f t="shared" si="0"/>
        <v>2</v>
      </c>
      <c r="J40" s="70">
        <f>J41</f>
        <v>0</v>
      </c>
      <c r="K40" s="87">
        <f t="shared" si="1"/>
        <v>2</v>
      </c>
      <c r="L40" s="13">
        <f>L41</f>
        <v>0</v>
      </c>
      <c r="M40" s="87">
        <f t="shared" si="2"/>
        <v>2</v>
      </c>
      <c r="N40" s="13">
        <f>N41</f>
        <v>0</v>
      </c>
      <c r="O40" s="87">
        <f t="shared" si="3"/>
        <v>2</v>
      </c>
      <c r="P40" s="13">
        <f>P41</f>
        <v>0</v>
      </c>
      <c r="Q40" s="87">
        <f t="shared" si="4"/>
        <v>2</v>
      </c>
      <c r="R40" s="13">
        <f>R41</f>
        <v>0</v>
      </c>
      <c r="S40" s="87">
        <f t="shared" si="5"/>
        <v>2</v>
      </c>
    </row>
    <row r="41" spans="1:19" s="91" customFormat="1" ht="12.75">
      <c r="A41" s="62" t="str">
        <f ca="1" t="shared" si="11"/>
        <v>Уплата налогов, сборов и иных платежей</v>
      </c>
      <c r="B41" s="115">
        <v>801</v>
      </c>
      <c r="C41" s="8" t="s">
        <v>221</v>
      </c>
      <c r="D41" s="8" t="s">
        <v>224</v>
      </c>
      <c r="E41" s="115" t="s">
        <v>314</v>
      </c>
      <c r="F41" s="115">
        <v>850</v>
      </c>
      <c r="G41" s="70">
        <f>G42</f>
        <v>2</v>
      </c>
      <c r="H41" s="70">
        <f>H42</f>
        <v>0</v>
      </c>
      <c r="I41" s="70">
        <f t="shared" si="0"/>
        <v>2</v>
      </c>
      <c r="J41" s="70">
        <f>J42</f>
        <v>0</v>
      </c>
      <c r="K41" s="87">
        <f t="shared" si="1"/>
        <v>2</v>
      </c>
      <c r="L41" s="13">
        <f>L42</f>
        <v>0</v>
      </c>
      <c r="M41" s="87">
        <f t="shared" si="2"/>
        <v>2</v>
      </c>
      <c r="N41" s="13">
        <f>N42</f>
        <v>0</v>
      </c>
      <c r="O41" s="87">
        <f t="shared" si="3"/>
        <v>2</v>
      </c>
      <c r="P41" s="13">
        <f>P42</f>
        <v>0</v>
      </c>
      <c r="Q41" s="87">
        <f t="shared" si="4"/>
        <v>2</v>
      </c>
      <c r="R41" s="13">
        <f>R42</f>
        <v>0</v>
      </c>
      <c r="S41" s="87">
        <f t="shared" si="5"/>
        <v>2</v>
      </c>
    </row>
    <row r="42" spans="1:19" s="91" customFormat="1" ht="12.75">
      <c r="A42" s="62" t="str">
        <f ca="1">IF(ISERROR(MATCH(F42,Код_КВР,0)),"",INDIRECT(ADDRESS(MATCH(F42,Код_КВР,0)+1,2,,,"КВР")))</f>
        <v>Уплата прочих налогов, сборов и иных платежей</v>
      </c>
      <c r="B42" s="115">
        <v>801</v>
      </c>
      <c r="C42" s="8" t="s">
        <v>221</v>
      </c>
      <c r="D42" s="8" t="s">
        <v>224</v>
      </c>
      <c r="E42" s="115" t="s">
        <v>314</v>
      </c>
      <c r="F42" s="115">
        <v>852</v>
      </c>
      <c r="G42" s="70">
        <v>2</v>
      </c>
      <c r="H42" s="65"/>
      <c r="I42" s="70">
        <f t="shared" si="0"/>
        <v>2</v>
      </c>
      <c r="J42" s="65"/>
      <c r="K42" s="87">
        <f t="shared" si="1"/>
        <v>2</v>
      </c>
      <c r="L42" s="87"/>
      <c r="M42" s="87">
        <f t="shared" si="2"/>
        <v>2</v>
      </c>
      <c r="N42" s="87"/>
      <c r="O42" s="87">
        <f t="shared" si="3"/>
        <v>2</v>
      </c>
      <c r="P42" s="87"/>
      <c r="Q42" s="87">
        <f t="shared" si="4"/>
        <v>2</v>
      </c>
      <c r="R42" s="87"/>
      <c r="S42" s="87">
        <f t="shared" si="5"/>
        <v>2</v>
      </c>
    </row>
    <row r="43" spans="1:19" s="91" customFormat="1" ht="114.75" customHeight="1">
      <c r="A43" s="62" t="str">
        <f ca="1">IF(ISERROR(MATCH(E43,Код_КЦСР,0)),"",INDIRECT(ADDRESS(MATCH(E43,Код_КЦСР,0)+1,2,,,"КЦСР")))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3" s="115">
        <v>801</v>
      </c>
      <c r="C43" s="8" t="s">
        <v>221</v>
      </c>
      <c r="D43" s="8" t="s">
        <v>224</v>
      </c>
      <c r="E43" s="115" t="s">
        <v>384</v>
      </c>
      <c r="F43" s="115"/>
      <c r="G43" s="70">
        <f>G44+G46</f>
        <v>1026.6</v>
      </c>
      <c r="H43" s="70">
        <f aca="true" t="shared" si="12" ref="H43:J43">H44+H46</f>
        <v>0</v>
      </c>
      <c r="I43" s="70">
        <f t="shared" si="0"/>
        <v>1026.6</v>
      </c>
      <c r="J43" s="70">
        <f t="shared" si="12"/>
        <v>0</v>
      </c>
      <c r="K43" s="87">
        <f t="shared" si="1"/>
        <v>1026.6</v>
      </c>
      <c r="L43" s="13">
        <f aca="true" t="shared" si="13" ref="L43:N43">L44+L46</f>
        <v>0</v>
      </c>
      <c r="M43" s="87">
        <f t="shared" si="2"/>
        <v>1026.6</v>
      </c>
      <c r="N43" s="13">
        <f t="shared" si="13"/>
        <v>0</v>
      </c>
      <c r="O43" s="87">
        <f t="shared" si="3"/>
        <v>1026.6</v>
      </c>
      <c r="P43" s="13">
        <f aca="true" t="shared" si="14" ref="P43:R43">P44+P46</f>
        <v>0</v>
      </c>
      <c r="Q43" s="87">
        <f t="shared" si="4"/>
        <v>1026.6</v>
      </c>
      <c r="R43" s="13">
        <f t="shared" si="14"/>
        <v>0</v>
      </c>
      <c r="S43" s="87">
        <f t="shared" si="5"/>
        <v>1026.6</v>
      </c>
    </row>
    <row r="44" spans="1:19" s="91" customFormat="1" ht="33">
      <c r="A44" s="62" t="str">
        <f ca="1">IF(ISERROR(MATCH(F44,Код_КВР,0)),"",INDIRECT(ADDRESS(MATCH(F44,Код_КВР,0)+1,2,,,"КВР")))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" s="115">
        <v>801</v>
      </c>
      <c r="C44" s="8" t="s">
        <v>221</v>
      </c>
      <c r="D44" s="8" t="s">
        <v>224</v>
      </c>
      <c r="E44" s="115" t="s">
        <v>384</v>
      </c>
      <c r="F44" s="115">
        <v>100</v>
      </c>
      <c r="G44" s="70">
        <f>G45</f>
        <v>1016.6</v>
      </c>
      <c r="H44" s="70">
        <f>H45</f>
        <v>0</v>
      </c>
      <c r="I44" s="70">
        <f t="shared" si="0"/>
        <v>1016.6</v>
      </c>
      <c r="J44" s="70">
        <f>J45</f>
        <v>0</v>
      </c>
      <c r="K44" s="87">
        <f t="shared" si="1"/>
        <v>1016.6</v>
      </c>
      <c r="L44" s="13">
        <f>L45</f>
        <v>0</v>
      </c>
      <c r="M44" s="87">
        <f t="shared" si="2"/>
        <v>1016.6</v>
      </c>
      <c r="N44" s="13">
        <f>N45</f>
        <v>0</v>
      </c>
      <c r="O44" s="87">
        <f t="shared" si="3"/>
        <v>1016.6</v>
      </c>
      <c r="P44" s="13">
        <f>P45</f>
        <v>0</v>
      </c>
      <c r="Q44" s="87">
        <f t="shared" si="4"/>
        <v>1016.6</v>
      </c>
      <c r="R44" s="13">
        <f>R45</f>
        <v>0</v>
      </c>
      <c r="S44" s="87">
        <f t="shared" si="5"/>
        <v>1016.6</v>
      </c>
    </row>
    <row r="45" spans="1:19" s="91" customFormat="1" ht="12.75">
      <c r="A45" s="62" t="str">
        <f ca="1">IF(ISERROR(MATCH(F45,Код_КВР,0)),"",INDIRECT(ADDRESS(MATCH(F45,Код_КВР,0)+1,2,,,"КВР")))</f>
        <v>Расходы на выплаты персоналу муниципальных органов</v>
      </c>
      <c r="B45" s="115">
        <v>801</v>
      </c>
      <c r="C45" s="8" t="s">
        <v>221</v>
      </c>
      <c r="D45" s="8" t="s">
        <v>224</v>
      </c>
      <c r="E45" s="115" t="s">
        <v>384</v>
      </c>
      <c r="F45" s="115">
        <v>120</v>
      </c>
      <c r="G45" s="70">
        <v>1016.6</v>
      </c>
      <c r="H45" s="70"/>
      <c r="I45" s="70">
        <f t="shared" si="0"/>
        <v>1016.6</v>
      </c>
      <c r="J45" s="70"/>
      <c r="K45" s="87">
        <f t="shared" si="1"/>
        <v>1016.6</v>
      </c>
      <c r="L45" s="13"/>
      <c r="M45" s="87">
        <f t="shared" si="2"/>
        <v>1016.6</v>
      </c>
      <c r="N45" s="13"/>
      <c r="O45" s="87">
        <f t="shared" si="3"/>
        <v>1016.6</v>
      </c>
      <c r="P45" s="13"/>
      <c r="Q45" s="87">
        <f t="shared" si="4"/>
        <v>1016.6</v>
      </c>
      <c r="R45" s="13"/>
      <c r="S45" s="87">
        <f t="shared" si="5"/>
        <v>1016.6</v>
      </c>
    </row>
    <row r="46" spans="1:19" s="91" customFormat="1" ht="12.75">
      <c r="A46" s="62" t="str">
        <f ca="1">IF(ISERROR(MATCH(F46,Код_КВР,0)),"",INDIRECT(ADDRESS(MATCH(F46,Код_КВР,0)+1,2,,,"КВР")))</f>
        <v>Закупка товаров, работ и услуг для муниципальных нужд</v>
      </c>
      <c r="B46" s="115">
        <v>801</v>
      </c>
      <c r="C46" s="8" t="s">
        <v>221</v>
      </c>
      <c r="D46" s="8" t="s">
        <v>224</v>
      </c>
      <c r="E46" s="115" t="s">
        <v>384</v>
      </c>
      <c r="F46" s="115">
        <v>200</v>
      </c>
      <c r="G46" s="70">
        <f>G47</f>
        <v>10</v>
      </c>
      <c r="H46" s="70">
        <f>H47</f>
        <v>0</v>
      </c>
      <c r="I46" s="70">
        <f t="shared" si="0"/>
        <v>10</v>
      </c>
      <c r="J46" s="70">
        <f>J47</f>
        <v>0</v>
      </c>
      <c r="K46" s="87">
        <f t="shared" si="1"/>
        <v>10</v>
      </c>
      <c r="L46" s="13">
        <f>L47</f>
        <v>0</v>
      </c>
      <c r="M46" s="87">
        <f t="shared" si="2"/>
        <v>10</v>
      </c>
      <c r="N46" s="13">
        <f>N47</f>
        <v>0</v>
      </c>
      <c r="O46" s="87">
        <f t="shared" si="3"/>
        <v>10</v>
      </c>
      <c r="P46" s="13">
        <f>P47</f>
        <v>0</v>
      </c>
      <c r="Q46" s="87">
        <f t="shared" si="4"/>
        <v>10</v>
      </c>
      <c r="R46" s="13">
        <f>R47</f>
        <v>0</v>
      </c>
      <c r="S46" s="87">
        <f t="shared" si="5"/>
        <v>10</v>
      </c>
    </row>
    <row r="47" spans="1:19" s="91" customFormat="1" ht="33">
      <c r="A47" s="62" t="str">
        <f ca="1">IF(ISERROR(MATCH(F47,Код_КВР,0)),"",INDIRECT(ADDRESS(MATCH(F47,Код_КВР,0)+1,2,,,"КВР")))</f>
        <v>Иные закупки товаров, работ и услуг для обеспечения муниципальных нужд</v>
      </c>
      <c r="B47" s="115">
        <v>801</v>
      </c>
      <c r="C47" s="8" t="s">
        <v>221</v>
      </c>
      <c r="D47" s="8" t="s">
        <v>224</v>
      </c>
      <c r="E47" s="115" t="s">
        <v>384</v>
      </c>
      <c r="F47" s="115">
        <v>240</v>
      </c>
      <c r="G47" s="70">
        <f>G48</f>
        <v>10</v>
      </c>
      <c r="H47" s="70">
        <f>H48</f>
        <v>0</v>
      </c>
      <c r="I47" s="70">
        <f t="shared" si="0"/>
        <v>10</v>
      </c>
      <c r="J47" s="70">
        <f>J48</f>
        <v>0</v>
      </c>
      <c r="K47" s="87">
        <f t="shared" si="1"/>
        <v>10</v>
      </c>
      <c r="L47" s="13">
        <f>L48</f>
        <v>0</v>
      </c>
      <c r="M47" s="87">
        <f t="shared" si="2"/>
        <v>10</v>
      </c>
      <c r="N47" s="13">
        <f>N48</f>
        <v>0</v>
      </c>
      <c r="O47" s="87">
        <f t="shared" si="3"/>
        <v>10</v>
      </c>
      <c r="P47" s="13">
        <f>P48</f>
        <v>0</v>
      </c>
      <c r="Q47" s="87">
        <f t="shared" si="4"/>
        <v>10</v>
      </c>
      <c r="R47" s="13">
        <f>R48</f>
        <v>0</v>
      </c>
      <c r="S47" s="87">
        <f t="shared" si="5"/>
        <v>10</v>
      </c>
    </row>
    <row r="48" spans="1:19" s="91" customFormat="1" ht="33">
      <c r="A48" s="62" t="str">
        <f ca="1">IF(ISERROR(MATCH(F48,Код_КВР,0)),"",INDIRECT(ADDRESS(MATCH(F48,Код_КВР,0)+1,2,,,"КВР")))</f>
        <v xml:space="preserve">Прочая закупка товаров, работ и услуг для обеспечения муниципальных нужд         </v>
      </c>
      <c r="B48" s="115">
        <v>801</v>
      </c>
      <c r="C48" s="8" t="s">
        <v>221</v>
      </c>
      <c r="D48" s="8" t="s">
        <v>224</v>
      </c>
      <c r="E48" s="115" t="s">
        <v>384</v>
      </c>
      <c r="F48" s="115">
        <v>244</v>
      </c>
      <c r="G48" s="70">
        <v>10</v>
      </c>
      <c r="H48" s="65"/>
      <c r="I48" s="70">
        <f t="shared" si="0"/>
        <v>10</v>
      </c>
      <c r="J48" s="65"/>
      <c r="K48" s="87">
        <f t="shared" si="1"/>
        <v>10</v>
      </c>
      <c r="L48" s="87"/>
      <c r="M48" s="87">
        <f t="shared" si="2"/>
        <v>10</v>
      </c>
      <c r="N48" s="87"/>
      <c r="O48" s="87">
        <f t="shared" si="3"/>
        <v>10</v>
      </c>
      <c r="P48" s="87"/>
      <c r="Q48" s="87">
        <f t="shared" si="4"/>
        <v>10</v>
      </c>
      <c r="R48" s="87"/>
      <c r="S48" s="87">
        <f t="shared" si="5"/>
        <v>10</v>
      </c>
    </row>
    <row r="49" spans="1:19" s="91" customFormat="1" ht="99">
      <c r="A49" s="62" t="str">
        <f ca="1">IF(ISERROR(MATCH(E49,Код_КЦСР,0)),"",INDIRECT(ADDRESS(MATCH(E49,Код_КЦСР,0)+1,2,,,"КЦСР")))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9" s="115">
        <v>801</v>
      </c>
      <c r="C49" s="8" t="s">
        <v>221</v>
      </c>
      <c r="D49" s="8" t="s">
        <v>224</v>
      </c>
      <c r="E49" s="115" t="s">
        <v>385</v>
      </c>
      <c r="F49" s="115"/>
      <c r="G49" s="70">
        <f>G50</f>
        <v>495</v>
      </c>
      <c r="H49" s="70">
        <f aca="true" t="shared" si="15" ref="H49:R49">H50</f>
        <v>0</v>
      </c>
      <c r="I49" s="70">
        <f t="shared" si="0"/>
        <v>495</v>
      </c>
      <c r="J49" s="70">
        <f t="shared" si="15"/>
        <v>0</v>
      </c>
      <c r="K49" s="87">
        <f t="shared" si="1"/>
        <v>495</v>
      </c>
      <c r="L49" s="13">
        <f t="shared" si="15"/>
        <v>0</v>
      </c>
      <c r="M49" s="87">
        <f t="shared" si="2"/>
        <v>495</v>
      </c>
      <c r="N49" s="13">
        <f t="shared" si="15"/>
        <v>0</v>
      </c>
      <c r="O49" s="87">
        <f t="shared" si="3"/>
        <v>495</v>
      </c>
      <c r="P49" s="13">
        <f t="shared" si="15"/>
        <v>0</v>
      </c>
      <c r="Q49" s="87">
        <f t="shared" si="4"/>
        <v>495</v>
      </c>
      <c r="R49" s="13">
        <f t="shared" si="15"/>
        <v>0</v>
      </c>
      <c r="S49" s="87">
        <f t="shared" si="5"/>
        <v>495</v>
      </c>
    </row>
    <row r="50" spans="1:19" s="91" customFormat="1" ht="33">
      <c r="A50" s="62" t="str">
        <f ca="1">IF(ISERROR(MATCH(F50,Код_КВР,0)),"",INDIRECT(ADDRESS(MATCH(F50,Код_КВР,0)+1,2,,,"КВР")))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0" s="115">
        <v>801</v>
      </c>
      <c r="C50" s="8" t="s">
        <v>221</v>
      </c>
      <c r="D50" s="8" t="s">
        <v>224</v>
      </c>
      <c r="E50" s="115" t="s">
        <v>385</v>
      </c>
      <c r="F50" s="115">
        <v>100</v>
      </c>
      <c r="G50" s="70">
        <f>G51</f>
        <v>495</v>
      </c>
      <c r="H50" s="65"/>
      <c r="I50" s="70">
        <f t="shared" si="0"/>
        <v>495</v>
      </c>
      <c r="J50" s="65"/>
      <c r="K50" s="87">
        <f t="shared" si="1"/>
        <v>495</v>
      </c>
      <c r="L50" s="87"/>
      <c r="M50" s="87">
        <f t="shared" si="2"/>
        <v>495</v>
      </c>
      <c r="N50" s="87"/>
      <c r="O50" s="87">
        <f t="shared" si="3"/>
        <v>495</v>
      </c>
      <c r="P50" s="87"/>
      <c r="Q50" s="87">
        <f t="shared" si="4"/>
        <v>495</v>
      </c>
      <c r="R50" s="87"/>
      <c r="S50" s="87">
        <f t="shared" si="5"/>
        <v>495</v>
      </c>
    </row>
    <row r="51" spans="1:19" s="91" customFormat="1" ht="12.75">
      <c r="A51" s="62" t="str">
        <f ca="1">IF(ISERROR(MATCH(F51,Код_КВР,0)),"",INDIRECT(ADDRESS(MATCH(F51,Код_КВР,0)+1,2,,,"КВР")))</f>
        <v>Расходы на выплаты персоналу муниципальных органов</v>
      </c>
      <c r="B51" s="115">
        <v>801</v>
      </c>
      <c r="C51" s="8" t="s">
        <v>221</v>
      </c>
      <c r="D51" s="8" t="s">
        <v>224</v>
      </c>
      <c r="E51" s="115" t="s">
        <v>385</v>
      </c>
      <c r="F51" s="115">
        <v>120</v>
      </c>
      <c r="G51" s="70">
        <v>495</v>
      </c>
      <c r="H51" s="65"/>
      <c r="I51" s="70">
        <f t="shared" si="0"/>
        <v>495</v>
      </c>
      <c r="J51" s="65"/>
      <c r="K51" s="87">
        <f t="shared" si="1"/>
        <v>495</v>
      </c>
      <c r="L51" s="87"/>
      <c r="M51" s="87">
        <f t="shared" si="2"/>
        <v>495</v>
      </c>
      <c r="N51" s="87"/>
      <c r="O51" s="87">
        <f t="shared" si="3"/>
        <v>495</v>
      </c>
      <c r="P51" s="87"/>
      <c r="Q51" s="87">
        <f t="shared" si="4"/>
        <v>495</v>
      </c>
      <c r="R51" s="87"/>
      <c r="S51" s="87">
        <f t="shared" si="5"/>
        <v>495</v>
      </c>
    </row>
    <row r="52" spans="1:19" s="91" customFormat="1" ht="148.5">
      <c r="A52" s="62" t="str">
        <f ca="1">IF(ISERROR(MATCH(E52,Код_КЦСР,0)),"",INDIRECT(ADDRESS(MATCH(E52,Код_КЦСР,0)+1,2,,,"КЦСР")))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2" s="115">
        <v>801</v>
      </c>
      <c r="C52" s="8" t="s">
        <v>221</v>
      </c>
      <c r="D52" s="8" t="s">
        <v>224</v>
      </c>
      <c r="E52" s="115" t="s">
        <v>386</v>
      </c>
      <c r="F52" s="115"/>
      <c r="G52" s="70">
        <f>G53</f>
        <v>0.7</v>
      </c>
      <c r="H52" s="70">
        <f aca="true" t="shared" si="16" ref="H52:R52">H53</f>
        <v>0</v>
      </c>
      <c r="I52" s="70">
        <f t="shared" si="0"/>
        <v>0.7</v>
      </c>
      <c r="J52" s="70">
        <f t="shared" si="16"/>
        <v>0</v>
      </c>
      <c r="K52" s="87">
        <f t="shared" si="1"/>
        <v>0.7</v>
      </c>
      <c r="L52" s="13">
        <f t="shared" si="16"/>
        <v>0</v>
      </c>
      <c r="M52" s="87">
        <f t="shared" si="2"/>
        <v>0.7</v>
      </c>
      <c r="N52" s="13">
        <f t="shared" si="16"/>
        <v>0</v>
      </c>
      <c r="O52" s="87">
        <f t="shared" si="3"/>
        <v>0.7</v>
      </c>
      <c r="P52" s="13">
        <f t="shared" si="16"/>
        <v>0</v>
      </c>
      <c r="Q52" s="87">
        <f t="shared" si="4"/>
        <v>0.7</v>
      </c>
      <c r="R52" s="13">
        <f t="shared" si="16"/>
        <v>0</v>
      </c>
      <c r="S52" s="87">
        <f t="shared" si="5"/>
        <v>0.7</v>
      </c>
    </row>
    <row r="53" spans="1:19" s="91" customFormat="1" ht="12.75">
      <c r="A53" s="62" t="str">
        <f ca="1">IF(ISERROR(MATCH(F53,Код_КВР,0)),"",INDIRECT(ADDRESS(MATCH(F53,Код_КВР,0)+1,2,,,"КВР")))</f>
        <v>Закупка товаров, работ и услуг для муниципальных нужд</v>
      </c>
      <c r="B53" s="115">
        <v>801</v>
      </c>
      <c r="C53" s="8" t="s">
        <v>221</v>
      </c>
      <c r="D53" s="8" t="s">
        <v>224</v>
      </c>
      <c r="E53" s="115" t="s">
        <v>386</v>
      </c>
      <c r="F53" s="115">
        <v>200</v>
      </c>
      <c r="G53" s="70">
        <f>G54</f>
        <v>0.7</v>
      </c>
      <c r="H53" s="70">
        <f>H54</f>
        <v>0</v>
      </c>
      <c r="I53" s="70">
        <f t="shared" si="0"/>
        <v>0.7</v>
      </c>
      <c r="J53" s="70">
        <f>J54</f>
        <v>0</v>
      </c>
      <c r="K53" s="87">
        <f t="shared" si="1"/>
        <v>0.7</v>
      </c>
      <c r="L53" s="13">
        <f>L54</f>
        <v>0</v>
      </c>
      <c r="M53" s="87">
        <f t="shared" si="2"/>
        <v>0.7</v>
      </c>
      <c r="N53" s="13">
        <f>N54</f>
        <v>0</v>
      </c>
      <c r="O53" s="87">
        <f t="shared" si="3"/>
        <v>0.7</v>
      </c>
      <c r="P53" s="13">
        <f>P54</f>
        <v>0</v>
      </c>
      <c r="Q53" s="87">
        <f t="shared" si="4"/>
        <v>0.7</v>
      </c>
      <c r="R53" s="13">
        <f>R54</f>
        <v>0</v>
      </c>
      <c r="S53" s="87">
        <f t="shared" si="5"/>
        <v>0.7</v>
      </c>
    </row>
    <row r="54" spans="1:19" s="91" customFormat="1" ht="33">
      <c r="A54" s="62" t="str">
        <f ca="1">IF(ISERROR(MATCH(F54,Код_КВР,0)),"",INDIRECT(ADDRESS(MATCH(F54,Код_КВР,0)+1,2,,,"КВР")))</f>
        <v>Иные закупки товаров, работ и услуг для обеспечения муниципальных нужд</v>
      </c>
      <c r="B54" s="115">
        <v>801</v>
      </c>
      <c r="C54" s="8" t="s">
        <v>221</v>
      </c>
      <c r="D54" s="8" t="s">
        <v>224</v>
      </c>
      <c r="E54" s="115" t="s">
        <v>386</v>
      </c>
      <c r="F54" s="115">
        <v>240</v>
      </c>
      <c r="G54" s="70">
        <f>G55</f>
        <v>0.7</v>
      </c>
      <c r="H54" s="70">
        <f>H55</f>
        <v>0</v>
      </c>
      <c r="I54" s="70">
        <f t="shared" si="0"/>
        <v>0.7</v>
      </c>
      <c r="J54" s="70">
        <f>J55</f>
        <v>0</v>
      </c>
      <c r="K54" s="87">
        <f t="shared" si="1"/>
        <v>0.7</v>
      </c>
      <c r="L54" s="13">
        <f>L55</f>
        <v>0</v>
      </c>
      <c r="M54" s="87">
        <f t="shared" si="2"/>
        <v>0.7</v>
      </c>
      <c r="N54" s="13">
        <f>N55</f>
        <v>0</v>
      </c>
      <c r="O54" s="87">
        <f t="shared" si="3"/>
        <v>0.7</v>
      </c>
      <c r="P54" s="13">
        <f>P55</f>
        <v>0</v>
      </c>
      <c r="Q54" s="87">
        <f t="shared" si="4"/>
        <v>0.7</v>
      </c>
      <c r="R54" s="13">
        <f>R55</f>
        <v>0</v>
      </c>
      <c r="S54" s="87">
        <f t="shared" si="5"/>
        <v>0.7</v>
      </c>
    </row>
    <row r="55" spans="1:19" s="91" customFormat="1" ht="33">
      <c r="A55" s="62" t="str">
        <f ca="1">IF(ISERROR(MATCH(F55,Код_КВР,0)),"",INDIRECT(ADDRESS(MATCH(F55,Код_КВР,0)+1,2,,,"КВР")))</f>
        <v xml:space="preserve">Прочая закупка товаров, работ и услуг для обеспечения муниципальных нужд         </v>
      </c>
      <c r="B55" s="115">
        <v>801</v>
      </c>
      <c r="C55" s="8" t="s">
        <v>221</v>
      </c>
      <c r="D55" s="8" t="s">
        <v>224</v>
      </c>
      <c r="E55" s="115" t="s">
        <v>386</v>
      </c>
      <c r="F55" s="115">
        <v>244</v>
      </c>
      <c r="G55" s="70">
        <v>0.7</v>
      </c>
      <c r="H55" s="65"/>
      <c r="I55" s="70">
        <f t="shared" si="0"/>
        <v>0.7</v>
      </c>
      <c r="J55" s="65"/>
      <c r="K55" s="87">
        <f t="shared" si="1"/>
        <v>0.7</v>
      </c>
      <c r="L55" s="87"/>
      <c r="M55" s="87">
        <f t="shared" si="2"/>
        <v>0.7</v>
      </c>
      <c r="N55" s="87"/>
      <c r="O55" s="87">
        <f t="shared" si="3"/>
        <v>0.7</v>
      </c>
      <c r="P55" s="87"/>
      <c r="Q55" s="87">
        <f t="shared" si="4"/>
        <v>0.7</v>
      </c>
      <c r="R55" s="87"/>
      <c r="S55" s="87">
        <f t="shared" si="5"/>
        <v>0.7</v>
      </c>
    </row>
    <row r="56" spans="1:19" s="128" customFormat="1" ht="92.25" customHeight="1">
      <c r="A56" s="62" t="str">
        <f ca="1">IF(ISERROR(MATCH(E56,Код_КЦСР,0)),"",INDIRECT(ADDRESS(MATCH(E56,Код_КЦСР,0)+1,2,,,"КЦСР")))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56" s="127">
        <v>801</v>
      </c>
      <c r="C56" s="8" t="s">
        <v>221</v>
      </c>
      <c r="D56" s="8" t="s">
        <v>224</v>
      </c>
      <c r="E56" s="127" t="s">
        <v>411</v>
      </c>
      <c r="F56" s="127"/>
      <c r="G56" s="70"/>
      <c r="H56" s="65"/>
      <c r="I56" s="70"/>
      <c r="J56" s="65"/>
      <c r="K56" s="87"/>
      <c r="L56" s="87"/>
      <c r="M56" s="87"/>
      <c r="N56" s="87"/>
      <c r="O56" s="87"/>
      <c r="P56" s="87"/>
      <c r="Q56" s="87"/>
      <c r="R56" s="87">
        <f>R57</f>
        <v>676.7</v>
      </c>
      <c r="S56" s="87">
        <f t="shared" si="5"/>
        <v>676.7</v>
      </c>
    </row>
    <row r="57" spans="1:19" s="128" customFormat="1" ht="46.5" customHeight="1">
      <c r="A57" s="62" t="str">
        <f ca="1">IF(ISERROR(MATCH(F57,Код_КВР,0)),"",INDIRECT(ADDRESS(MATCH(F57,Код_КВР,0)+1,2,,,"КВР")))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7" s="127">
        <v>801</v>
      </c>
      <c r="C57" s="8" t="s">
        <v>221</v>
      </c>
      <c r="D57" s="8" t="s">
        <v>224</v>
      </c>
      <c r="E57" s="127" t="s">
        <v>411</v>
      </c>
      <c r="F57" s="127">
        <v>100</v>
      </c>
      <c r="G57" s="70"/>
      <c r="H57" s="65"/>
      <c r="I57" s="70"/>
      <c r="J57" s="65"/>
      <c r="K57" s="87"/>
      <c r="L57" s="87"/>
      <c r="M57" s="87"/>
      <c r="N57" s="87"/>
      <c r="O57" s="87"/>
      <c r="P57" s="87"/>
      <c r="Q57" s="87"/>
      <c r="R57" s="87">
        <f>R58</f>
        <v>676.7</v>
      </c>
      <c r="S57" s="87">
        <f t="shared" si="5"/>
        <v>676.7</v>
      </c>
    </row>
    <row r="58" spans="1:19" s="128" customFormat="1" ht="36.75" customHeight="1">
      <c r="A58" s="62" t="str">
        <f ca="1">IF(ISERROR(MATCH(F58,Код_КВР,0)),"",INDIRECT(ADDRESS(MATCH(F58,Код_КВР,0)+1,2,,,"КВР")))</f>
        <v>Расходы на выплаты персоналу муниципальных органов</v>
      </c>
      <c r="B58" s="127">
        <v>801</v>
      </c>
      <c r="C58" s="8" t="s">
        <v>221</v>
      </c>
      <c r="D58" s="8" t="s">
        <v>224</v>
      </c>
      <c r="E58" s="127" t="s">
        <v>411</v>
      </c>
      <c r="F58" s="127">
        <v>120</v>
      </c>
      <c r="G58" s="70"/>
      <c r="H58" s="65"/>
      <c r="I58" s="70"/>
      <c r="J58" s="65"/>
      <c r="K58" s="87"/>
      <c r="L58" s="87"/>
      <c r="M58" s="87"/>
      <c r="N58" s="87"/>
      <c r="O58" s="87"/>
      <c r="P58" s="87"/>
      <c r="Q58" s="87"/>
      <c r="R58" s="87">
        <f>676.7</f>
        <v>676.7</v>
      </c>
      <c r="S58" s="87">
        <f t="shared" si="5"/>
        <v>676.7</v>
      </c>
    </row>
    <row r="59" spans="1:19" s="91" customFormat="1" ht="87" customHeight="1">
      <c r="A59" s="62" t="str">
        <f ca="1">IF(ISERROR(MATCH(E59,Код_КЦСР,0)),"",INDIRECT(ADDRESS(MATCH(E59,Код_КЦСР,0)+1,2,,,"КЦСР")))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59" s="115">
        <v>801</v>
      </c>
      <c r="C59" s="8" t="s">
        <v>221</v>
      </c>
      <c r="D59" s="8" t="s">
        <v>224</v>
      </c>
      <c r="E59" s="115" t="s">
        <v>388</v>
      </c>
      <c r="F59" s="115"/>
      <c r="G59" s="70">
        <f>G60</f>
        <v>341.6</v>
      </c>
      <c r="H59" s="70">
        <f aca="true" t="shared" si="17" ref="H59:R59">H60</f>
        <v>0</v>
      </c>
      <c r="I59" s="70">
        <f t="shared" si="0"/>
        <v>341.6</v>
      </c>
      <c r="J59" s="70">
        <f t="shared" si="17"/>
        <v>0</v>
      </c>
      <c r="K59" s="87">
        <f t="shared" si="1"/>
        <v>341.6</v>
      </c>
      <c r="L59" s="13">
        <f t="shared" si="17"/>
        <v>0</v>
      </c>
      <c r="M59" s="87">
        <f t="shared" si="2"/>
        <v>341.6</v>
      </c>
      <c r="N59" s="13">
        <f t="shared" si="17"/>
        <v>0</v>
      </c>
      <c r="O59" s="87">
        <f t="shared" si="3"/>
        <v>341.6</v>
      </c>
      <c r="P59" s="13">
        <f t="shared" si="17"/>
        <v>0</v>
      </c>
      <c r="Q59" s="87">
        <f t="shared" si="4"/>
        <v>341.6</v>
      </c>
      <c r="R59" s="13">
        <f t="shared" si="17"/>
        <v>0</v>
      </c>
      <c r="S59" s="87">
        <f t="shared" si="5"/>
        <v>341.6</v>
      </c>
    </row>
    <row r="60" spans="1:19" s="91" customFormat="1" ht="33">
      <c r="A60" s="62" t="str">
        <f ca="1">IF(ISERROR(MATCH(F60,Код_КВР,0)),"",INDIRECT(ADDRESS(MATCH(F60,Код_КВР,0)+1,2,,,"КВР")))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0" s="115">
        <v>801</v>
      </c>
      <c r="C60" s="8" t="s">
        <v>221</v>
      </c>
      <c r="D60" s="8" t="s">
        <v>224</v>
      </c>
      <c r="E60" s="115" t="s">
        <v>388</v>
      </c>
      <c r="F60" s="115">
        <v>100</v>
      </c>
      <c r="G60" s="70">
        <f>G61</f>
        <v>341.6</v>
      </c>
      <c r="H60" s="70">
        <f>H61</f>
        <v>0</v>
      </c>
      <c r="I60" s="70">
        <f t="shared" si="0"/>
        <v>341.6</v>
      </c>
      <c r="J60" s="70">
        <f>J61</f>
        <v>0</v>
      </c>
      <c r="K60" s="87">
        <f t="shared" si="1"/>
        <v>341.6</v>
      </c>
      <c r="L60" s="13">
        <f>L61</f>
        <v>0</v>
      </c>
      <c r="M60" s="87">
        <f t="shared" si="2"/>
        <v>341.6</v>
      </c>
      <c r="N60" s="13">
        <f>N61</f>
        <v>0</v>
      </c>
      <c r="O60" s="87">
        <f t="shared" si="3"/>
        <v>341.6</v>
      </c>
      <c r="P60" s="13">
        <f>P61</f>
        <v>0</v>
      </c>
      <c r="Q60" s="87">
        <f t="shared" si="4"/>
        <v>341.6</v>
      </c>
      <c r="R60" s="13">
        <f>R61</f>
        <v>0</v>
      </c>
      <c r="S60" s="87">
        <f t="shared" si="5"/>
        <v>341.6</v>
      </c>
    </row>
    <row r="61" spans="1:19" s="91" customFormat="1" ht="12.75">
      <c r="A61" s="62" t="str">
        <f ca="1">IF(ISERROR(MATCH(F61,Код_КВР,0)),"",INDIRECT(ADDRESS(MATCH(F61,Код_КВР,0)+1,2,,,"КВР")))</f>
        <v>Расходы на выплаты персоналу муниципальных органов</v>
      </c>
      <c r="B61" s="115">
        <v>801</v>
      </c>
      <c r="C61" s="8" t="s">
        <v>221</v>
      </c>
      <c r="D61" s="8" t="s">
        <v>224</v>
      </c>
      <c r="E61" s="115" t="s">
        <v>388</v>
      </c>
      <c r="F61" s="115">
        <v>120</v>
      </c>
      <c r="G61" s="70">
        <v>341.6</v>
      </c>
      <c r="H61" s="65"/>
      <c r="I61" s="70">
        <f t="shared" si="0"/>
        <v>341.6</v>
      </c>
      <c r="J61" s="65"/>
      <c r="K61" s="87">
        <f t="shared" si="1"/>
        <v>341.6</v>
      </c>
      <c r="L61" s="87"/>
      <c r="M61" s="87">
        <f t="shared" si="2"/>
        <v>341.6</v>
      </c>
      <c r="N61" s="87"/>
      <c r="O61" s="87">
        <f t="shared" si="3"/>
        <v>341.6</v>
      </c>
      <c r="P61" s="87"/>
      <c r="Q61" s="87">
        <f t="shared" si="4"/>
        <v>341.6</v>
      </c>
      <c r="R61" s="87"/>
      <c r="S61" s="87">
        <f t="shared" si="5"/>
        <v>341.6</v>
      </c>
    </row>
    <row r="62" spans="1:19" s="91" customFormat="1" ht="12.75">
      <c r="A62" s="78" t="s">
        <v>383</v>
      </c>
      <c r="B62" s="115">
        <v>801</v>
      </c>
      <c r="C62" s="8" t="s">
        <v>221</v>
      </c>
      <c r="D62" s="8" t="s">
        <v>229</v>
      </c>
      <c r="E62" s="115"/>
      <c r="F62" s="115"/>
      <c r="G62" s="70">
        <f>G65</f>
        <v>0</v>
      </c>
      <c r="H62" s="65"/>
      <c r="I62" s="70">
        <f t="shared" si="0"/>
        <v>0</v>
      </c>
      <c r="J62" s="65"/>
      <c r="K62" s="87">
        <f t="shared" si="1"/>
        <v>0</v>
      </c>
      <c r="L62" s="87"/>
      <c r="M62" s="87">
        <f t="shared" si="2"/>
        <v>0</v>
      </c>
      <c r="N62" s="87">
        <f aca="true" t="shared" si="18" ref="N62:R67">N63</f>
        <v>21.9</v>
      </c>
      <c r="O62" s="87">
        <f t="shared" si="3"/>
        <v>21.9</v>
      </c>
      <c r="P62" s="87">
        <f t="shared" si="18"/>
        <v>0</v>
      </c>
      <c r="Q62" s="87">
        <f t="shared" si="4"/>
        <v>21.9</v>
      </c>
      <c r="R62" s="87">
        <f t="shared" si="18"/>
        <v>0</v>
      </c>
      <c r="S62" s="87">
        <f t="shared" si="5"/>
        <v>21.9</v>
      </c>
    </row>
    <row r="63" spans="1:19" s="93" customFormat="1" ht="33">
      <c r="A63" s="62" t="str">
        <f ca="1">IF(ISERROR(MATCH(E63,Код_КЦСР,0)),"",INDIRECT(ADDRESS(MATCH(E63,Код_КЦСР,0)+1,2,,,"КЦСР")))</f>
        <v>Непрограммные направления деятельности органов местного самоуправления</v>
      </c>
      <c r="B63" s="115">
        <v>801</v>
      </c>
      <c r="C63" s="8" t="s">
        <v>221</v>
      </c>
      <c r="D63" s="8" t="s">
        <v>229</v>
      </c>
      <c r="E63" s="115" t="s">
        <v>307</v>
      </c>
      <c r="F63" s="115"/>
      <c r="G63" s="70"/>
      <c r="H63" s="65"/>
      <c r="I63" s="70"/>
      <c r="J63" s="65"/>
      <c r="K63" s="87"/>
      <c r="L63" s="87"/>
      <c r="M63" s="87"/>
      <c r="N63" s="87">
        <f t="shared" si="18"/>
        <v>21.9</v>
      </c>
      <c r="O63" s="87">
        <f t="shared" si="3"/>
        <v>21.9</v>
      </c>
      <c r="P63" s="87">
        <f t="shared" si="18"/>
        <v>0</v>
      </c>
      <c r="Q63" s="87">
        <f t="shared" si="4"/>
        <v>21.9</v>
      </c>
      <c r="R63" s="87">
        <f t="shared" si="18"/>
        <v>0</v>
      </c>
      <c r="S63" s="87">
        <f t="shared" si="5"/>
        <v>21.9</v>
      </c>
    </row>
    <row r="64" spans="1:19" s="93" customFormat="1" ht="26.25" customHeight="1">
      <c r="A64" s="62" t="str">
        <f ca="1">IF(ISERROR(MATCH(E64,Код_КЦСР,0)),"",INDIRECT(ADDRESS(MATCH(E64,Код_КЦСР,0)+1,2,,,"КЦСР")))</f>
        <v>Расходы, не включенные в муниципальные программы города Череповца</v>
      </c>
      <c r="B64" s="115">
        <v>801</v>
      </c>
      <c r="C64" s="8" t="s">
        <v>221</v>
      </c>
      <c r="D64" s="8" t="s">
        <v>229</v>
      </c>
      <c r="E64" s="115" t="s">
        <v>309</v>
      </c>
      <c r="F64" s="115"/>
      <c r="G64" s="70"/>
      <c r="H64" s="65"/>
      <c r="I64" s="70"/>
      <c r="J64" s="65"/>
      <c r="K64" s="87"/>
      <c r="L64" s="87"/>
      <c r="M64" s="87"/>
      <c r="N64" s="87">
        <f t="shared" si="18"/>
        <v>21.9</v>
      </c>
      <c r="O64" s="87">
        <f t="shared" si="3"/>
        <v>21.9</v>
      </c>
      <c r="P64" s="87">
        <f t="shared" si="18"/>
        <v>0</v>
      </c>
      <c r="Q64" s="87">
        <f t="shared" si="4"/>
        <v>21.9</v>
      </c>
      <c r="R64" s="87">
        <f t="shared" si="18"/>
        <v>0</v>
      </c>
      <c r="S64" s="87">
        <f t="shared" si="5"/>
        <v>21.9</v>
      </c>
    </row>
    <row r="65" spans="1:19" s="91" customFormat="1" ht="66">
      <c r="A65" s="62" t="str">
        <f ca="1">IF(ISERROR(MATCH(E65,Код_КЦСР,0)),"",INDIRECT(ADDRESS(MATCH(E65,Код_КЦСР,0)+1,2,,,"КЦСР")))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5" s="115">
        <v>801</v>
      </c>
      <c r="C65" s="8" t="s">
        <v>221</v>
      </c>
      <c r="D65" s="8" t="s">
        <v>229</v>
      </c>
      <c r="E65" s="115" t="s">
        <v>391</v>
      </c>
      <c r="F65" s="115"/>
      <c r="G65" s="70">
        <f>G66</f>
        <v>0</v>
      </c>
      <c r="H65" s="65"/>
      <c r="I65" s="70">
        <f t="shared" si="0"/>
        <v>0</v>
      </c>
      <c r="J65" s="65"/>
      <c r="K65" s="87">
        <f t="shared" si="1"/>
        <v>0</v>
      </c>
      <c r="L65" s="87"/>
      <c r="M65" s="87">
        <f t="shared" si="2"/>
        <v>0</v>
      </c>
      <c r="N65" s="87">
        <f t="shared" si="18"/>
        <v>21.9</v>
      </c>
      <c r="O65" s="87">
        <f t="shared" si="3"/>
        <v>21.9</v>
      </c>
      <c r="P65" s="87">
        <f t="shared" si="18"/>
        <v>0</v>
      </c>
      <c r="Q65" s="87">
        <f t="shared" si="4"/>
        <v>21.9</v>
      </c>
      <c r="R65" s="87">
        <f t="shared" si="18"/>
        <v>0</v>
      </c>
      <c r="S65" s="87">
        <f t="shared" si="5"/>
        <v>21.9</v>
      </c>
    </row>
    <row r="66" spans="1:19" s="91" customFormat="1" ht="12.75">
      <c r="A66" s="62" t="str">
        <f ca="1">IF(ISERROR(MATCH(F66,Код_КВР,0)),"",INDIRECT(ADDRESS(MATCH(F66,Код_КВР,0)+1,2,,,"КВР")))</f>
        <v>Закупка товаров, работ и услуг для муниципальных нужд</v>
      </c>
      <c r="B66" s="115">
        <v>801</v>
      </c>
      <c r="C66" s="8" t="s">
        <v>221</v>
      </c>
      <c r="D66" s="8" t="s">
        <v>229</v>
      </c>
      <c r="E66" s="115" t="s">
        <v>391</v>
      </c>
      <c r="F66" s="115">
        <v>200</v>
      </c>
      <c r="G66" s="70">
        <f>G67</f>
        <v>0</v>
      </c>
      <c r="H66" s="65"/>
      <c r="I66" s="70">
        <f t="shared" si="0"/>
        <v>0</v>
      </c>
      <c r="J66" s="65"/>
      <c r="K66" s="87">
        <f t="shared" si="1"/>
        <v>0</v>
      </c>
      <c r="L66" s="87"/>
      <c r="M66" s="87">
        <f t="shared" si="2"/>
        <v>0</v>
      </c>
      <c r="N66" s="87">
        <f t="shared" si="18"/>
        <v>21.9</v>
      </c>
      <c r="O66" s="87">
        <f t="shared" si="3"/>
        <v>21.9</v>
      </c>
      <c r="P66" s="87">
        <f t="shared" si="18"/>
        <v>0</v>
      </c>
      <c r="Q66" s="87">
        <f t="shared" si="4"/>
        <v>21.9</v>
      </c>
      <c r="R66" s="87">
        <f t="shared" si="18"/>
        <v>0</v>
      </c>
      <c r="S66" s="87">
        <f t="shared" si="5"/>
        <v>21.9</v>
      </c>
    </row>
    <row r="67" spans="1:19" s="91" customFormat="1" ht="33">
      <c r="A67" s="62" t="str">
        <f ca="1">IF(ISERROR(MATCH(F67,Код_КВР,0)),"",INDIRECT(ADDRESS(MATCH(F67,Код_КВР,0)+1,2,,,"КВР")))</f>
        <v>Иные закупки товаров, работ и услуг для обеспечения муниципальных нужд</v>
      </c>
      <c r="B67" s="115">
        <v>801</v>
      </c>
      <c r="C67" s="8" t="s">
        <v>221</v>
      </c>
      <c r="D67" s="8" t="s">
        <v>229</v>
      </c>
      <c r="E67" s="115" t="s">
        <v>391</v>
      </c>
      <c r="F67" s="115">
        <v>240</v>
      </c>
      <c r="G67" s="70">
        <f>G68</f>
        <v>0</v>
      </c>
      <c r="H67" s="65"/>
      <c r="I67" s="70">
        <f t="shared" si="0"/>
        <v>0</v>
      </c>
      <c r="J67" s="65"/>
      <c r="K67" s="87">
        <f t="shared" si="1"/>
        <v>0</v>
      </c>
      <c r="L67" s="87"/>
      <c r="M67" s="87">
        <f t="shared" si="2"/>
        <v>0</v>
      </c>
      <c r="N67" s="87">
        <f t="shared" si="18"/>
        <v>21.9</v>
      </c>
      <c r="O67" s="87">
        <f t="shared" si="3"/>
        <v>21.9</v>
      </c>
      <c r="P67" s="87">
        <f t="shared" si="18"/>
        <v>0</v>
      </c>
      <c r="Q67" s="87">
        <f t="shared" si="4"/>
        <v>21.9</v>
      </c>
      <c r="R67" s="87">
        <f t="shared" si="18"/>
        <v>0</v>
      </c>
      <c r="S67" s="87">
        <f t="shared" si="5"/>
        <v>21.9</v>
      </c>
    </row>
    <row r="68" spans="1:19" s="91" customFormat="1" ht="33">
      <c r="A68" s="62" t="str">
        <f ca="1">IF(ISERROR(MATCH(F68,Код_КВР,0)),"",INDIRECT(ADDRESS(MATCH(F68,Код_КВР,0)+1,2,,,"КВР")))</f>
        <v xml:space="preserve">Прочая закупка товаров, работ и услуг для обеспечения муниципальных нужд         </v>
      </c>
      <c r="B68" s="115">
        <v>801</v>
      </c>
      <c r="C68" s="8" t="s">
        <v>221</v>
      </c>
      <c r="D68" s="8" t="s">
        <v>229</v>
      </c>
      <c r="E68" s="115" t="s">
        <v>391</v>
      </c>
      <c r="F68" s="115">
        <v>244</v>
      </c>
      <c r="G68" s="70"/>
      <c r="H68" s="65"/>
      <c r="I68" s="70">
        <f t="shared" si="0"/>
        <v>0</v>
      </c>
      <c r="J68" s="65"/>
      <c r="K68" s="87">
        <f t="shared" si="1"/>
        <v>0</v>
      </c>
      <c r="L68" s="87"/>
      <c r="M68" s="87">
        <f t="shared" si="2"/>
        <v>0</v>
      </c>
      <c r="N68" s="87">
        <v>21.9</v>
      </c>
      <c r="O68" s="87">
        <f t="shared" si="3"/>
        <v>21.9</v>
      </c>
      <c r="P68" s="87"/>
      <c r="Q68" s="87">
        <f t="shared" si="4"/>
        <v>21.9</v>
      </c>
      <c r="R68" s="87"/>
      <c r="S68" s="87">
        <f t="shared" si="5"/>
        <v>21.9</v>
      </c>
    </row>
    <row r="69" spans="1:19" s="91" customFormat="1" ht="12.75">
      <c r="A69" s="12" t="s">
        <v>245</v>
      </c>
      <c r="B69" s="115">
        <v>801</v>
      </c>
      <c r="C69" s="8" t="s">
        <v>221</v>
      </c>
      <c r="D69" s="8" t="s">
        <v>198</v>
      </c>
      <c r="E69" s="115"/>
      <c r="F69" s="115"/>
      <c r="G69" s="70">
        <f>G70+G87+G92+G111+G134+G151+G157</f>
        <v>119681.6</v>
      </c>
      <c r="H69" s="70">
        <f>H70+H87+H92+H111+H134+H151+H157</f>
        <v>0</v>
      </c>
      <c r="I69" s="70">
        <f t="shared" si="0"/>
        <v>119681.6</v>
      </c>
      <c r="J69" s="70">
        <f>J70+J87+J92+J111+J134+J151+J157+J106</f>
        <v>9039.400000000001</v>
      </c>
      <c r="K69" s="87">
        <f t="shared" si="1"/>
        <v>128721</v>
      </c>
      <c r="L69" s="13">
        <f>L70+L87+L92+L111+L134+L151+L157+L106</f>
        <v>754.3</v>
      </c>
      <c r="M69" s="87">
        <f t="shared" si="2"/>
        <v>129475.3</v>
      </c>
      <c r="N69" s="13">
        <f>N70+N87+N92+N111+N134+N151+N157+N106</f>
        <v>206.1</v>
      </c>
      <c r="O69" s="87">
        <f t="shared" si="3"/>
        <v>129681.40000000001</v>
      </c>
      <c r="P69" s="13">
        <f>P70+P87+P92+P111+P134+P151+P157+P106</f>
        <v>0</v>
      </c>
      <c r="Q69" s="87">
        <f t="shared" si="4"/>
        <v>129681.40000000001</v>
      </c>
      <c r="R69" s="13">
        <f>R70+R87+R92+R111+R134+R151+R157+R106</f>
        <v>158.89999999999998</v>
      </c>
      <c r="S69" s="87">
        <f t="shared" si="5"/>
        <v>129840.3</v>
      </c>
    </row>
    <row r="70" spans="1:19" s="91" customFormat="1" ht="12.75">
      <c r="A70" s="62" t="str">
        <f ca="1">IF(ISERROR(MATCH(E70,Код_КЦСР,0)),"",INDIRECT(ADDRESS(MATCH(E70,Код_КЦСР,0)+1,2,,,"КЦСР")))</f>
        <v>Муниципальная программа «Развитие архивного дела» на 2013-2018 годы</v>
      </c>
      <c r="B70" s="115">
        <v>801</v>
      </c>
      <c r="C70" s="8" t="s">
        <v>221</v>
      </c>
      <c r="D70" s="8" t="s">
        <v>198</v>
      </c>
      <c r="E70" s="115" t="s">
        <v>543</v>
      </c>
      <c r="F70" s="115"/>
      <c r="G70" s="70">
        <f>G71+G81</f>
        <v>13813.9</v>
      </c>
      <c r="H70" s="70">
        <f aca="true" t="shared" si="19" ref="H70">H71+H81</f>
        <v>0</v>
      </c>
      <c r="I70" s="70">
        <f t="shared" si="0"/>
        <v>13813.9</v>
      </c>
      <c r="J70" s="70">
        <f>J71+J81</f>
        <v>0</v>
      </c>
      <c r="K70" s="87">
        <f t="shared" si="1"/>
        <v>13813.9</v>
      </c>
      <c r="L70" s="13">
        <f>L71+L81</f>
        <v>-46.7</v>
      </c>
      <c r="M70" s="87">
        <f t="shared" si="2"/>
        <v>13767.199999999999</v>
      </c>
      <c r="N70" s="13">
        <f>N71+N81</f>
        <v>0</v>
      </c>
      <c r="O70" s="87">
        <f t="shared" si="3"/>
        <v>13767.199999999999</v>
      </c>
      <c r="P70" s="13">
        <f>P71+P81</f>
        <v>0</v>
      </c>
      <c r="Q70" s="87">
        <f t="shared" si="4"/>
        <v>13767.199999999999</v>
      </c>
      <c r="R70" s="13">
        <f>R71+R81</f>
        <v>0</v>
      </c>
      <c r="S70" s="87">
        <f t="shared" si="5"/>
        <v>13767.199999999999</v>
      </c>
    </row>
    <row r="71" spans="1:19" s="91" customFormat="1" ht="38.25" customHeight="1">
      <c r="A71" s="62" t="str">
        <f ca="1">IF(ISERROR(MATCH(E71,Код_КЦСР,0)),"",INDIRECT(ADDRESS(MATCH(E71,Код_КЦСР,0)+1,2,,,"КЦСР")))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1" s="115">
        <v>801</v>
      </c>
      <c r="C71" s="8" t="s">
        <v>221</v>
      </c>
      <c r="D71" s="8" t="s">
        <v>198</v>
      </c>
      <c r="E71" s="115" t="s">
        <v>545</v>
      </c>
      <c r="F71" s="115"/>
      <c r="G71" s="70">
        <f>G72+G74+G77</f>
        <v>12741.9</v>
      </c>
      <c r="H71" s="70">
        <f aca="true" t="shared" si="20" ref="H71">H72+H74+H77</f>
        <v>0</v>
      </c>
      <c r="I71" s="70">
        <f t="shared" si="0"/>
        <v>12741.9</v>
      </c>
      <c r="J71" s="70">
        <f>J72+J74+J77</f>
        <v>0</v>
      </c>
      <c r="K71" s="87">
        <f t="shared" si="1"/>
        <v>12741.9</v>
      </c>
      <c r="L71" s="13">
        <f>L72+L74+L77</f>
        <v>-46.7</v>
      </c>
      <c r="M71" s="87">
        <f t="shared" si="2"/>
        <v>12695.199999999999</v>
      </c>
      <c r="N71" s="13">
        <f>N72+N74+N77</f>
        <v>0</v>
      </c>
      <c r="O71" s="87">
        <f t="shared" si="3"/>
        <v>12695.199999999999</v>
      </c>
      <c r="P71" s="13">
        <f>P72+P74+P77</f>
        <v>0</v>
      </c>
      <c r="Q71" s="87">
        <f t="shared" si="4"/>
        <v>12695.199999999999</v>
      </c>
      <c r="R71" s="13">
        <f>R72+R74+R77</f>
        <v>0</v>
      </c>
      <c r="S71" s="87">
        <f t="shared" si="5"/>
        <v>12695.199999999999</v>
      </c>
    </row>
    <row r="72" spans="1:19" s="91" customFormat="1" ht="33">
      <c r="A72" s="62" t="str">
        <f aca="true" t="shared" si="21" ref="A72:A78">IF(ISERROR(MATCH(F72,Код_КВР,0)),"",INDIRECT(ADDRESS(MATCH(F72,Код_КВР,0)+1,2,,,"КВР")))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" s="115">
        <v>801</v>
      </c>
      <c r="C72" s="8" t="s">
        <v>221</v>
      </c>
      <c r="D72" s="8" t="s">
        <v>198</v>
      </c>
      <c r="E72" s="115" t="s">
        <v>545</v>
      </c>
      <c r="F72" s="115">
        <v>100</v>
      </c>
      <c r="G72" s="70">
        <f>G73</f>
        <v>6387</v>
      </c>
      <c r="H72" s="70">
        <f>H73</f>
        <v>0</v>
      </c>
      <c r="I72" s="70">
        <f t="shared" si="0"/>
        <v>6387</v>
      </c>
      <c r="J72" s="70">
        <f>J73</f>
        <v>0</v>
      </c>
      <c r="K72" s="87">
        <f t="shared" si="1"/>
        <v>6387</v>
      </c>
      <c r="L72" s="13">
        <f>L73</f>
        <v>0</v>
      </c>
      <c r="M72" s="87">
        <f t="shared" si="2"/>
        <v>6387</v>
      </c>
      <c r="N72" s="13">
        <f>N73</f>
        <v>0</v>
      </c>
      <c r="O72" s="87">
        <f t="shared" si="3"/>
        <v>6387</v>
      </c>
      <c r="P72" s="13">
        <f>P73</f>
        <v>0</v>
      </c>
      <c r="Q72" s="87">
        <f t="shared" si="4"/>
        <v>6387</v>
      </c>
      <c r="R72" s="13">
        <f>R73</f>
        <v>13</v>
      </c>
      <c r="S72" s="87">
        <f t="shared" si="5"/>
        <v>6400</v>
      </c>
    </row>
    <row r="73" spans="1:19" s="91" customFormat="1" ht="12.75">
      <c r="A73" s="62" t="str">
        <f ca="1" t="shared" si="21"/>
        <v>Расходы на выплаты персоналу казенных учреждений</v>
      </c>
      <c r="B73" s="115">
        <v>801</v>
      </c>
      <c r="C73" s="8" t="s">
        <v>221</v>
      </c>
      <c r="D73" s="8" t="s">
        <v>198</v>
      </c>
      <c r="E73" s="115" t="s">
        <v>545</v>
      </c>
      <c r="F73" s="115">
        <v>110</v>
      </c>
      <c r="G73" s="70">
        <v>6387</v>
      </c>
      <c r="H73" s="65"/>
      <c r="I73" s="70">
        <f t="shared" si="0"/>
        <v>6387</v>
      </c>
      <c r="J73" s="65"/>
      <c r="K73" s="87">
        <f t="shared" si="1"/>
        <v>6387</v>
      </c>
      <c r="L73" s="87"/>
      <c r="M73" s="87">
        <f t="shared" si="2"/>
        <v>6387</v>
      </c>
      <c r="N73" s="87"/>
      <c r="O73" s="87">
        <f t="shared" si="3"/>
        <v>6387</v>
      </c>
      <c r="P73" s="87"/>
      <c r="Q73" s="87">
        <f t="shared" si="4"/>
        <v>6387</v>
      </c>
      <c r="R73" s="87">
        <v>13</v>
      </c>
      <c r="S73" s="87">
        <f t="shared" si="5"/>
        <v>6400</v>
      </c>
    </row>
    <row r="74" spans="1:19" s="91" customFormat="1" ht="12.75">
      <c r="A74" s="62" t="str">
        <f ca="1" t="shared" si="21"/>
        <v>Закупка товаров, работ и услуг для муниципальных нужд</v>
      </c>
      <c r="B74" s="115">
        <v>801</v>
      </c>
      <c r="C74" s="8" t="s">
        <v>221</v>
      </c>
      <c r="D74" s="8" t="s">
        <v>198</v>
      </c>
      <c r="E74" s="115" t="s">
        <v>545</v>
      </c>
      <c r="F74" s="115">
        <v>200</v>
      </c>
      <c r="G74" s="70">
        <f>G75</f>
        <v>4051.8</v>
      </c>
      <c r="H74" s="70">
        <f>H75</f>
        <v>0</v>
      </c>
      <c r="I74" s="70">
        <f t="shared" si="0"/>
        <v>4051.8</v>
      </c>
      <c r="J74" s="70">
        <f>J75</f>
        <v>-2.6</v>
      </c>
      <c r="K74" s="87">
        <f t="shared" si="1"/>
        <v>4049.2000000000003</v>
      </c>
      <c r="L74" s="13">
        <f>L75</f>
        <v>-46.7</v>
      </c>
      <c r="M74" s="87">
        <f t="shared" si="2"/>
        <v>4002.5000000000005</v>
      </c>
      <c r="N74" s="13">
        <f>N75</f>
        <v>0</v>
      </c>
      <c r="O74" s="87">
        <f t="shared" si="3"/>
        <v>4002.5000000000005</v>
      </c>
      <c r="P74" s="13">
        <f>P75</f>
        <v>0</v>
      </c>
      <c r="Q74" s="87">
        <f t="shared" si="4"/>
        <v>4002.5000000000005</v>
      </c>
      <c r="R74" s="13">
        <f>R75</f>
        <v>-13</v>
      </c>
      <c r="S74" s="87">
        <f t="shared" si="5"/>
        <v>3989.5000000000005</v>
      </c>
    </row>
    <row r="75" spans="1:19" s="91" customFormat="1" ht="33">
      <c r="A75" s="62" t="str">
        <f ca="1" t="shared" si="21"/>
        <v>Иные закупки товаров, работ и услуг для обеспечения муниципальных нужд</v>
      </c>
      <c r="B75" s="115">
        <v>801</v>
      </c>
      <c r="C75" s="8" t="s">
        <v>221</v>
      </c>
      <c r="D75" s="8" t="s">
        <v>198</v>
      </c>
      <c r="E75" s="115" t="s">
        <v>545</v>
      </c>
      <c r="F75" s="115">
        <v>240</v>
      </c>
      <c r="G75" s="70">
        <f>G76</f>
        <v>4051.8</v>
      </c>
      <c r="H75" s="65"/>
      <c r="I75" s="70">
        <f>G75+H75</f>
        <v>4051.8</v>
      </c>
      <c r="J75" s="65">
        <f>J76</f>
        <v>-2.6</v>
      </c>
      <c r="K75" s="87">
        <f t="shared" si="1"/>
        <v>4049.2000000000003</v>
      </c>
      <c r="L75" s="87">
        <f>L76</f>
        <v>-46.7</v>
      </c>
      <c r="M75" s="87">
        <f t="shared" si="2"/>
        <v>4002.5000000000005</v>
      </c>
      <c r="N75" s="87">
        <f>N76</f>
        <v>0</v>
      </c>
      <c r="O75" s="87">
        <f t="shared" si="3"/>
        <v>4002.5000000000005</v>
      </c>
      <c r="P75" s="87">
        <f>P76</f>
        <v>0</v>
      </c>
      <c r="Q75" s="87">
        <f t="shared" si="4"/>
        <v>4002.5000000000005</v>
      </c>
      <c r="R75" s="87">
        <f>R76</f>
        <v>-13</v>
      </c>
      <c r="S75" s="87">
        <f t="shared" si="5"/>
        <v>3989.5000000000005</v>
      </c>
    </row>
    <row r="76" spans="1:19" s="91" customFormat="1" ht="33">
      <c r="A76" s="62" t="str">
        <f ca="1" t="shared" si="21"/>
        <v xml:space="preserve">Прочая закупка товаров, работ и услуг для обеспечения муниципальных нужд         </v>
      </c>
      <c r="B76" s="115">
        <v>801</v>
      </c>
      <c r="C76" s="8" t="s">
        <v>221</v>
      </c>
      <c r="D76" s="8" t="s">
        <v>198</v>
      </c>
      <c r="E76" s="115" t="s">
        <v>545</v>
      </c>
      <c r="F76" s="115">
        <v>244</v>
      </c>
      <c r="G76" s="70">
        <v>4051.8</v>
      </c>
      <c r="H76" s="65"/>
      <c r="I76" s="70">
        <f t="shared" si="0"/>
        <v>4051.8</v>
      </c>
      <c r="J76" s="65">
        <v>-2.6</v>
      </c>
      <c r="K76" s="87">
        <f t="shared" si="1"/>
        <v>4049.2000000000003</v>
      </c>
      <c r="L76" s="87">
        <v>-46.7</v>
      </c>
      <c r="M76" s="87">
        <f t="shared" si="2"/>
        <v>4002.5000000000005</v>
      </c>
      <c r="N76" s="87"/>
      <c r="O76" s="87">
        <f t="shared" si="3"/>
        <v>4002.5000000000005</v>
      </c>
      <c r="P76" s="87"/>
      <c r="Q76" s="87">
        <f t="shared" si="4"/>
        <v>4002.5000000000005</v>
      </c>
      <c r="R76" s="87">
        <v>-13</v>
      </c>
      <c r="S76" s="87">
        <f t="shared" si="5"/>
        <v>3989.5000000000005</v>
      </c>
    </row>
    <row r="77" spans="1:19" s="91" customFormat="1" ht="12.75">
      <c r="A77" s="62" t="str">
        <f ca="1" t="shared" si="21"/>
        <v>Иные бюджетные ассигнования</v>
      </c>
      <c r="B77" s="115">
        <v>801</v>
      </c>
      <c r="C77" s="8" t="s">
        <v>221</v>
      </c>
      <c r="D77" s="8" t="s">
        <v>198</v>
      </c>
      <c r="E77" s="115" t="s">
        <v>545</v>
      </c>
      <c r="F77" s="115">
        <v>800</v>
      </c>
      <c r="G77" s="70">
        <f>G78</f>
        <v>2303.1</v>
      </c>
      <c r="H77" s="70">
        <f>H78</f>
        <v>0</v>
      </c>
      <c r="I77" s="70">
        <f t="shared" si="0"/>
        <v>2303.1</v>
      </c>
      <c r="J77" s="70">
        <f>J78</f>
        <v>2.6</v>
      </c>
      <c r="K77" s="87">
        <f t="shared" si="1"/>
        <v>2305.7</v>
      </c>
      <c r="L77" s="13">
        <f>L78</f>
        <v>0</v>
      </c>
      <c r="M77" s="87">
        <f t="shared" si="2"/>
        <v>2305.7</v>
      </c>
      <c r="N77" s="13">
        <f>N78</f>
        <v>0</v>
      </c>
      <c r="O77" s="87">
        <f t="shared" si="3"/>
        <v>2305.7</v>
      </c>
      <c r="P77" s="13">
        <f>P78</f>
        <v>0</v>
      </c>
      <c r="Q77" s="87">
        <f t="shared" si="4"/>
        <v>2305.7</v>
      </c>
      <c r="R77" s="13">
        <f>R78</f>
        <v>0</v>
      </c>
      <c r="S77" s="87">
        <f t="shared" si="5"/>
        <v>2305.7</v>
      </c>
    </row>
    <row r="78" spans="1:19" s="91" customFormat="1" ht="12.75">
      <c r="A78" s="62" t="str">
        <f ca="1" t="shared" si="21"/>
        <v>Уплата налогов, сборов и иных платежей</v>
      </c>
      <c r="B78" s="115">
        <v>801</v>
      </c>
      <c r="C78" s="8" t="s">
        <v>221</v>
      </c>
      <c r="D78" s="8" t="s">
        <v>198</v>
      </c>
      <c r="E78" s="115" t="s">
        <v>545</v>
      </c>
      <c r="F78" s="115">
        <v>850</v>
      </c>
      <c r="G78" s="70">
        <f>G79</f>
        <v>2303.1</v>
      </c>
      <c r="H78" s="70">
        <f>H79</f>
        <v>0</v>
      </c>
      <c r="I78" s="70">
        <f t="shared" si="0"/>
        <v>2303.1</v>
      </c>
      <c r="J78" s="70">
        <f>J79+J80</f>
        <v>2.6</v>
      </c>
      <c r="K78" s="87">
        <f t="shared" si="1"/>
        <v>2305.7</v>
      </c>
      <c r="L78" s="13">
        <f>L79+L80</f>
        <v>0</v>
      </c>
      <c r="M78" s="87">
        <f t="shared" si="2"/>
        <v>2305.7</v>
      </c>
      <c r="N78" s="13">
        <f>N79+N80</f>
        <v>0</v>
      </c>
      <c r="O78" s="87">
        <f t="shared" si="3"/>
        <v>2305.7</v>
      </c>
      <c r="P78" s="13">
        <f>P79+P80</f>
        <v>0</v>
      </c>
      <c r="Q78" s="87">
        <f t="shared" si="4"/>
        <v>2305.7</v>
      </c>
      <c r="R78" s="13">
        <f>R79+R80</f>
        <v>0</v>
      </c>
      <c r="S78" s="87">
        <f t="shared" si="5"/>
        <v>2305.7</v>
      </c>
    </row>
    <row r="79" spans="1:19" s="91" customFormat="1" ht="12.75">
      <c r="A79" s="62" t="str">
        <f ca="1">IF(ISERROR(MATCH(F79,Код_КВР,0)),"",INDIRECT(ADDRESS(MATCH(F79,Код_КВР,0)+1,2,,,"КВР")))</f>
        <v>Уплата налога на имущество организаций и земельного налога</v>
      </c>
      <c r="B79" s="115">
        <v>801</v>
      </c>
      <c r="C79" s="8" t="s">
        <v>221</v>
      </c>
      <c r="D79" s="8" t="s">
        <v>198</v>
      </c>
      <c r="E79" s="115" t="s">
        <v>545</v>
      </c>
      <c r="F79" s="115">
        <v>851</v>
      </c>
      <c r="G79" s="70">
        <v>2303.1</v>
      </c>
      <c r="H79" s="70"/>
      <c r="I79" s="70">
        <f t="shared" si="0"/>
        <v>2303.1</v>
      </c>
      <c r="J79" s="70"/>
      <c r="K79" s="87">
        <f t="shared" si="1"/>
        <v>2303.1</v>
      </c>
      <c r="L79" s="13"/>
      <c r="M79" s="87">
        <f t="shared" si="2"/>
        <v>2303.1</v>
      </c>
      <c r="N79" s="13"/>
      <c r="O79" s="87">
        <f t="shared" si="3"/>
        <v>2303.1</v>
      </c>
      <c r="P79" s="13"/>
      <c r="Q79" s="87">
        <f t="shared" si="4"/>
        <v>2303.1</v>
      </c>
      <c r="R79" s="13"/>
      <c r="S79" s="87">
        <f t="shared" si="5"/>
        <v>2303.1</v>
      </c>
    </row>
    <row r="80" spans="1:19" s="91" customFormat="1" ht="12.75">
      <c r="A80" s="62" t="str">
        <f ca="1">IF(ISERROR(MATCH(F80,Код_КВР,0)),"",INDIRECT(ADDRESS(MATCH(F80,Код_КВР,0)+1,2,,,"КВР")))</f>
        <v>Уплата прочих налогов, сборов и иных платежей</v>
      </c>
      <c r="B80" s="115">
        <v>801</v>
      </c>
      <c r="C80" s="8" t="s">
        <v>221</v>
      </c>
      <c r="D80" s="8" t="s">
        <v>198</v>
      </c>
      <c r="E80" s="115" t="s">
        <v>545</v>
      </c>
      <c r="F80" s="115">
        <v>852</v>
      </c>
      <c r="G80" s="70"/>
      <c r="H80" s="70"/>
      <c r="I80" s="70"/>
      <c r="J80" s="70">
        <v>2.6</v>
      </c>
      <c r="K80" s="87">
        <f t="shared" si="1"/>
        <v>2.6</v>
      </c>
      <c r="L80" s="13"/>
      <c r="M80" s="87">
        <f t="shared" si="2"/>
        <v>2.6</v>
      </c>
      <c r="N80" s="13"/>
      <c r="O80" s="87">
        <f t="shared" si="3"/>
        <v>2.6</v>
      </c>
      <c r="P80" s="13"/>
      <c r="Q80" s="87">
        <f t="shared" si="4"/>
        <v>2.6</v>
      </c>
      <c r="R80" s="13"/>
      <c r="S80" s="87">
        <f t="shared" si="5"/>
        <v>2.6</v>
      </c>
    </row>
    <row r="81" spans="1:19" s="91" customFormat="1" ht="102.75" customHeight="1">
      <c r="A81" s="62" t="str">
        <f ca="1">IF(ISERROR(MATCH(E81,Код_КЦСР,0)),"",INDIRECT(ADDRESS(MATCH(E81,Код_КЦСР,0)+1,2,,,"КЦСР")))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81" s="115">
        <v>801</v>
      </c>
      <c r="C81" s="8" t="s">
        <v>221</v>
      </c>
      <c r="D81" s="8" t="s">
        <v>198</v>
      </c>
      <c r="E81" s="115" t="s">
        <v>392</v>
      </c>
      <c r="F81" s="115"/>
      <c r="G81" s="70">
        <f>G82+G84</f>
        <v>1072</v>
      </c>
      <c r="H81" s="70">
        <f>H82+H84</f>
        <v>0</v>
      </c>
      <c r="I81" s="70">
        <f t="shared" si="0"/>
        <v>1072</v>
      </c>
      <c r="J81" s="70">
        <f>J82+J84</f>
        <v>0</v>
      </c>
      <c r="K81" s="87">
        <f t="shared" si="1"/>
        <v>1072</v>
      </c>
      <c r="L81" s="13">
        <f>L82+L84</f>
        <v>0</v>
      </c>
      <c r="M81" s="87">
        <f t="shared" si="2"/>
        <v>1072</v>
      </c>
      <c r="N81" s="13">
        <f>N82+N84</f>
        <v>0</v>
      </c>
      <c r="O81" s="87">
        <f t="shared" si="3"/>
        <v>1072</v>
      </c>
      <c r="P81" s="13">
        <f>P82+P84</f>
        <v>0</v>
      </c>
      <c r="Q81" s="87">
        <f t="shared" si="4"/>
        <v>1072</v>
      </c>
      <c r="R81" s="13">
        <f>R82+R84</f>
        <v>0</v>
      </c>
      <c r="S81" s="87">
        <f t="shared" si="5"/>
        <v>1072</v>
      </c>
    </row>
    <row r="82" spans="1:19" s="91" customFormat="1" ht="33">
      <c r="A82" s="62" t="str">
        <f ca="1">IF(ISERROR(MATCH(F82,Код_КВР,0)),"",INDIRECT(ADDRESS(MATCH(F82,Код_КВР,0)+1,2,,,"КВР")))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2" s="115">
        <v>801</v>
      </c>
      <c r="C82" s="8" t="s">
        <v>221</v>
      </c>
      <c r="D82" s="8" t="s">
        <v>198</v>
      </c>
      <c r="E82" s="115" t="s">
        <v>392</v>
      </c>
      <c r="F82" s="115">
        <v>100</v>
      </c>
      <c r="G82" s="70">
        <f>G83</f>
        <v>305.2</v>
      </c>
      <c r="H82" s="70">
        <f>H83</f>
        <v>0</v>
      </c>
      <c r="I82" s="70">
        <f t="shared" si="0"/>
        <v>305.2</v>
      </c>
      <c r="J82" s="70">
        <f>J83</f>
        <v>0</v>
      </c>
      <c r="K82" s="87">
        <f t="shared" si="1"/>
        <v>305.2</v>
      </c>
      <c r="L82" s="13">
        <f>L83</f>
        <v>0</v>
      </c>
      <c r="M82" s="87">
        <f t="shared" si="2"/>
        <v>305.2</v>
      </c>
      <c r="N82" s="13">
        <f>N83</f>
        <v>0</v>
      </c>
      <c r="O82" s="87">
        <f t="shared" si="3"/>
        <v>305.2</v>
      </c>
      <c r="P82" s="13">
        <f>P83</f>
        <v>0</v>
      </c>
      <c r="Q82" s="87">
        <f t="shared" si="4"/>
        <v>305.2</v>
      </c>
      <c r="R82" s="13">
        <f>R83</f>
        <v>0</v>
      </c>
      <c r="S82" s="87">
        <f t="shared" si="5"/>
        <v>305.2</v>
      </c>
    </row>
    <row r="83" spans="1:19" s="91" customFormat="1" ht="12.75">
      <c r="A83" s="62" t="str">
        <f ca="1">IF(ISERROR(MATCH(F83,Код_КВР,0)),"",INDIRECT(ADDRESS(MATCH(F83,Код_КВР,0)+1,2,,,"КВР")))</f>
        <v>Расходы на выплаты персоналу казенных учреждений</v>
      </c>
      <c r="B83" s="115">
        <v>801</v>
      </c>
      <c r="C83" s="8" t="s">
        <v>221</v>
      </c>
      <c r="D83" s="8" t="s">
        <v>198</v>
      </c>
      <c r="E83" s="115" t="s">
        <v>392</v>
      </c>
      <c r="F83" s="115">
        <v>110</v>
      </c>
      <c r="G83" s="70">
        <v>305.2</v>
      </c>
      <c r="H83" s="70"/>
      <c r="I83" s="70">
        <f t="shared" si="0"/>
        <v>305.2</v>
      </c>
      <c r="J83" s="70"/>
      <c r="K83" s="87">
        <f t="shared" si="1"/>
        <v>305.2</v>
      </c>
      <c r="L83" s="13"/>
      <c r="M83" s="87">
        <f t="shared" si="2"/>
        <v>305.2</v>
      </c>
      <c r="N83" s="13"/>
      <c r="O83" s="87">
        <f t="shared" si="3"/>
        <v>305.2</v>
      </c>
      <c r="P83" s="13"/>
      <c r="Q83" s="87">
        <f t="shared" si="4"/>
        <v>305.2</v>
      </c>
      <c r="R83" s="13"/>
      <c r="S83" s="87">
        <f t="shared" si="5"/>
        <v>305.2</v>
      </c>
    </row>
    <row r="84" spans="1:19" s="91" customFormat="1" ht="12.75">
      <c r="A84" s="62" t="str">
        <f ca="1">IF(ISERROR(MATCH(F84,Код_КВР,0)),"",INDIRECT(ADDRESS(MATCH(F84,Код_КВР,0)+1,2,,,"КВР")))</f>
        <v>Закупка товаров, работ и услуг для муниципальных нужд</v>
      </c>
      <c r="B84" s="115">
        <v>801</v>
      </c>
      <c r="C84" s="8" t="s">
        <v>221</v>
      </c>
      <c r="D84" s="8" t="s">
        <v>198</v>
      </c>
      <c r="E84" s="115" t="s">
        <v>392</v>
      </c>
      <c r="F84" s="115">
        <v>200</v>
      </c>
      <c r="G84" s="70">
        <f>G85</f>
        <v>766.8</v>
      </c>
      <c r="H84" s="70">
        <f>H85</f>
        <v>0</v>
      </c>
      <c r="I84" s="70">
        <f t="shared" si="0"/>
        <v>766.8</v>
      </c>
      <c r="J84" s="70">
        <f>J85</f>
        <v>0</v>
      </c>
      <c r="K84" s="87">
        <f t="shared" si="1"/>
        <v>766.8</v>
      </c>
      <c r="L84" s="13">
        <f>L85</f>
        <v>0</v>
      </c>
      <c r="M84" s="87">
        <f t="shared" si="2"/>
        <v>766.8</v>
      </c>
      <c r="N84" s="13">
        <f>N85</f>
        <v>0</v>
      </c>
      <c r="O84" s="87">
        <f t="shared" si="3"/>
        <v>766.8</v>
      </c>
      <c r="P84" s="13">
        <f>P85</f>
        <v>0</v>
      </c>
      <c r="Q84" s="87">
        <f t="shared" si="4"/>
        <v>766.8</v>
      </c>
      <c r="R84" s="13">
        <f>R85</f>
        <v>0</v>
      </c>
      <c r="S84" s="87">
        <f t="shared" si="5"/>
        <v>766.8</v>
      </c>
    </row>
    <row r="85" spans="1:19" s="91" customFormat="1" ht="33">
      <c r="A85" s="62" t="str">
        <f ca="1">IF(ISERROR(MATCH(F85,Код_КВР,0)),"",INDIRECT(ADDRESS(MATCH(F85,Код_КВР,0)+1,2,,,"КВР")))</f>
        <v>Иные закупки товаров, работ и услуг для обеспечения муниципальных нужд</v>
      </c>
      <c r="B85" s="115">
        <v>801</v>
      </c>
      <c r="C85" s="8" t="s">
        <v>221</v>
      </c>
      <c r="D85" s="8" t="s">
        <v>198</v>
      </c>
      <c r="E85" s="115" t="s">
        <v>392</v>
      </c>
      <c r="F85" s="115">
        <v>240</v>
      </c>
      <c r="G85" s="70">
        <f>G86</f>
        <v>766.8</v>
      </c>
      <c r="H85" s="70">
        <f>H86</f>
        <v>0</v>
      </c>
      <c r="I85" s="70">
        <f t="shared" si="0"/>
        <v>766.8</v>
      </c>
      <c r="J85" s="70">
        <f>J86</f>
        <v>0</v>
      </c>
      <c r="K85" s="87">
        <f t="shared" si="1"/>
        <v>766.8</v>
      </c>
      <c r="L85" s="13">
        <f>L86</f>
        <v>0</v>
      </c>
      <c r="M85" s="87">
        <f t="shared" si="2"/>
        <v>766.8</v>
      </c>
      <c r="N85" s="13">
        <f>N86</f>
        <v>0</v>
      </c>
      <c r="O85" s="87">
        <f t="shared" si="3"/>
        <v>766.8</v>
      </c>
      <c r="P85" s="13">
        <f>P86</f>
        <v>0</v>
      </c>
      <c r="Q85" s="87">
        <f t="shared" si="4"/>
        <v>766.8</v>
      </c>
      <c r="R85" s="13">
        <f>R86</f>
        <v>0</v>
      </c>
      <c r="S85" s="87">
        <f t="shared" si="5"/>
        <v>766.8</v>
      </c>
    </row>
    <row r="86" spans="1:19" s="91" customFormat="1" ht="33">
      <c r="A86" s="62" t="str">
        <f ca="1">IF(ISERROR(MATCH(F86,Код_КВР,0)),"",INDIRECT(ADDRESS(MATCH(F86,Код_КВР,0)+1,2,,,"КВР")))</f>
        <v xml:space="preserve">Прочая закупка товаров, работ и услуг для обеспечения муниципальных нужд         </v>
      </c>
      <c r="B86" s="115">
        <v>801</v>
      </c>
      <c r="C86" s="8" t="s">
        <v>221</v>
      </c>
      <c r="D86" s="8" t="s">
        <v>198</v>
      </c>
      <c r="E86" s="115" t="s">
        <v>392</v>
      </c>
      <c r="F86" s="115">
        <v>244</v>
      </c>
      <c r="G86" s="70">
        <v>766.8</v>
      </c>
      <c r="H86" s="70"/>
      <c r="I86" s="70">
        <f t="shared" si="0"/>
        <v>766.8</v>
      </c>
      <c r="J86" s="70"/>
      <c r="K86" s="87">
        <f t="shared" si="1"/>
        <v>766.8</v>
      </c>
      <c r="L86" s="13"/>
      <c r="M86" s="87">
        <f t="shared" si="2"/>
        <v>766.8</v>
      </c>
      <c r="N86" s="13"/>
      <c r="O86" s="87">
        <f t="shared" si="3"/>
        <v>766.8</v>
      </c>
      <c r="P86" s="13"/>
      <c r="Q86" s="87">
        <f t="shared" si="4"/>
        <v>766.8</v>
      </c>
      <c r="R86" s="13"/>
      <c r="S86" s="87">
        <f t="shared" si="5"/>
        <v>766.8</v>
      </c>
    </row>
    <row r="87" spans="1:19" s="91" customFormat="1" ht="33">
      <c r="A87" s="62" t="str">
        <f ca="1">IF(ISERROR(MATCH(E87,Код_КЦСР,0)),"",INDIRECT(ADDRESS(MATCH(E87,Код_КЦСР,0)+1,2,,,"КЦСР")))</f>
        <v>Муниципальная программа «Содействие развитию потребительского рынка в городе Череповце на 2013-2017 годы»</v>
      </c>
      <c r="B87" s="115">
        <v>801</v>
      </c>
      <c r="C87" s="8" t="s">
        <v>221</v>
      </c>
      <c r="D87" s="8" t="s">
        <v>198</v>
      </c>
      <c r="E87" s="115" t="s">
        <v>555</v>
      </c>
      <c r="F87" s="115"/>
      <c r="G87" s="70">
        <f aca="true" t="shared" si="22" ref="G87:R90">G88</f>
        <v>150</v>
      </c>
      <c r="H87" s="70">
        <f t="shared" si="22"/>
        <v>0</v>
      </c>
      <c r="I87" s="70">
        <f t="shared" si="0"/>
        <v>150</v>
      </c>
      <c r="J87" s="70">
        <f t="shared" si="22"/>
        <v>0</v>
      </c>
      <c r="K87" s="87">
        <f t="shared" si="1"/>
        <v>150</v>
      </c>
      <c r="L87" s="13">
        <f t="shared" si="22"/>
        <v>0</v>
      </c>
      <c r="M87" s="87">
        <f t="shared" si="2"/>
        <v>150</v>
      </c>
      <c r="N87" s="13">
        <f t="shared" si="22"/>
        <v>0</v>
      </c>
      <c r="O87" s="87">
        <f t="shared" si="3"/>
        <v>150</v>
      </c>
      <c r="P87" s="13">
        <f t="shared" si="22"/>
        <v>0</v>
      </c>
      <c r="Q87" s="87">
        <f t="shared" si="4"/>
        <v>150</v>
      </c>
      <c r="R87" s="13">
        <f t="shared" si="22"/>
        <v>0</v>
      </c>
      <c r="S87" s="87">
        <f t="shared" si="5"/>
        <v>150</v>
      </c>
    </row>
    <row r="88" spans="1:19" s="91" customFormat="1" ht="49.5">
      <c r="A88" s="62" t="str">
        <f ca="1">IF(ISERROR(MATCH(E88,Код_КЦСР,0)),"",INDIRECT(ADDRESS(MATCH(E88,Код_КЦСР,0)+1,2,,,"КЦСР")))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8" s="115">
        <v>801</v>
      </c>
      <c r="C88" s="8" t="s">
        <v>221</v>
      </c>
      <c r="D88" s="8" t="s">
        <v>198</v>
      </c>
      <c r="E88" s="115" t="s">
        <v>557</v>
      </c>
      <c r="F88" s="115"/>
      <c r="G88" s="70">
        <f t="shared" si="22"/>
        <v>150</v>
      </c>
      <c r="H88" s="70">
        <f t="shared" si="22"/>
        <v>0</v>
      </c>
      <c r="I88" s="70">
        <f t="shared" si="0"/>
        <v>150</v>
      </c>
      <c r="J88" s="70">
        <f t="shared" si="22"/>
        <v>0</v>
      </c>
      <c r="K88" s="87">
        <f t="shared" si="1"/>
        <v>150</v>
      </c>
      <c r="L88" s="13">
        <f t="shared" si="22"/>
        <v>0</v>
      </c>
      <c r="M88" s="87">
        <f t="shared" si="2"/>
        <v>150</v>
      </c>
      <c r="N88" s="13">
        <f t="shared" si="22"/>
        <v>0</v>
      </c>
      <c r="O88" s="87">
        <f t="shared" si="3"/>
        <v>150</v>
      </c>
      <c r="P88" s="13">
        <f t="shared" si="22"/>
        <v>0</v>
      </c>
      <c r="Q88" s="87">
        <f t="shared" si="4"/>
        <v>150</v>
      </c>
      <c r="R88" s="13">
        <f t="shared" si="22"/>
        <v>0</v>
      </c>
      <c r="S88" s="87">
        <f t="shared" si="5"/>
        <v>150</v>
      </c>
    </row>
    <row r="89" spans="1:19" s="91" customFormat="1" ht="12.75">
      <c r="A89" s="62" t="str">
        <f ca="1">IF(ISERROR(MATCH(F89,Код_КВР,0)),"",INDIRECT(ADDRESS(MATCH(F89,Код_КВР,0)+1,2,,,"КВР")))</f>
        <v>Закупка товаров, работ и услуг для муниципальных нужд</v>
      </c>
      <c r="B89" s="115">
        <v>801</v>
      </c>
      <c r="C89" s="8" t="s">
        <v>221</v>
      </c>
      <c r="D89" s="8" t="s">
        <v>198</v>
      </c>
      <c r="E89" s="115" t="s">
        <v>557</v>
      </c>
      <c r="F89" s="115">
        <v>200</v>
      </c>
      <c r="G89" s="70">
        <f t="shared" si="22"/>
        <v>150</v>
      </c>
      <c r="H89" s="70">
        <f t="shared" si="22"/>
        <v>0</v>
      </c>
      <c r="I89" s="70">
        <f t="shared" si="0"/>
        <v>150</v>
      </c>
      <c r="J89" s="70">
        <f t="shared" si="22"/>
        <v>0</v>
      </c>
      <c r="K89" s="87">
        <f t="shared" si="1"/>
        <v>150</v>
      </c>
      <c r="L89" s="13">
        <f t="shared" si="22"/>
        <v>0</v>
      </c>
      <c r="M89" s="87">
        <f t="shared" si="2"/>
        <v>150</v>
      </c>
      <c r="N89" s="13">
        <f t="shared" si="22"/>
        <v>0</v>
      </c>
      <c r="O89" s="87">
        <f t="shared" si="3"/>
        <v>150</v>
      </c>
      <c r="P89" s="13">
        <f t="shared" si="22"/>
        <v>0</v>
      </c>
      <c r="Q89" s="87">
        <f aca="true" t="shared" si="23" ref="Q89:Q152">O89+P89</f>
        <v>150</v>
      </c>
      <c r="R89" s="13">
        <f t="shared" si="22"/>
        <v>0</v>
      </c>
      <c r="S89" s="87">
        <f aca="true" t="shared" si="24" ref="S89:S152">Q89+R89</f>
        <v>150</v>
      </c>
    </row>
    <row r="90" spans="1:19" s="91" customFormat="1" ht="33">
      <c r="A90" s="62" t="str">
        <f ca="1">IF(ISERROR(MATCH(F90,Код_КВР,0)),"",INDIRECT(ADDRESS(MATCH(F90,Код_КВР,0)+1,2,,,"КВР")))</f>
        <v>Иные закупки товаров, работ и услуг для обеспечения муниципальных нужд</v>
      </c>
      <c r="B90" s="115">
        <v>801</v>
      </c>
      <c r="C90" s="8" t="s">
        <v>221</v>
      </c>
      <c r="D90" s="8" t="s">
        <v>198</v>
      </c>
      <c r="E90" s="115" t="s">
        <v>557</v>
      </c>
      <c r="F90" s="115">
        <v>240</v>
      </c>
      <c r="G90" s="70">
        <f t="shared" si="22"/>
        <v>150</v>
      </c>
      <c r="H90" s="70">
        <f t="shared" si="22"/>
        <v>0</v>
      </c>
      <c r="I90" s="70">
        <f t="shared" si="0"/>
        <v>150</v>
      </c>
      <c r="J90" s="70">
        <f t="shared" si="22"/>
        <v>0</v>
      </c>
      <c r="K90" s="87">
        <f t="shared" si="1"/>
        <v>150</v>
      </c>
      <c r="L90" s="13">
        <f t="shared" si="22"/>
        <v>0</v>
      </c>
      <c r="M90" s="87">
        <f t="shared" si="2"/>
        <v>150</v>
      </c>
      <c r="N90" s="13">
        <f t="shared" si="22"/>
        <v>0</v>
      </c>
      <c r="O90" s="87">
        <f t="shared" si="3"/>
        <v>150</v>
      </c>
      <c r="P90" s="13">
        <f t="shared" si="22"/>
        <v>0</v>
      </c>
      <c r="Q90" s="87">
        <f t="shared" si="23"/>
        <v>150</v>
      </c>
      <c r="R90" s="13">
        <f t="shared" si="22"/>
        <v>0</v>
      </c>
      <c r="S90" s="87">
        <f t="shared" si="24"/>
        <v>150</v>
      </c>
    </row>
    <row r="91" spans="1:19" s="91" customFormat="1" ht="33">
      <c r="A91" s="62" t="str">
        <f ca="1">IF(ISERROR(MATCH(F91,Код_КВР,0)),"",INDIRECT(ADDRESS(MATCH(F91,Код_КВР,0)+1,2,,,"КВР")))</f>
        <v xml:space="preserve">Прочая закупка товаров, работ и услуг для обеспечения муниципальных нужд         </v>
      </c>
      <c r="B91" s="115">
        <v>801</v>
      </c>
      <c r="C91" s="8" t="s">
        <v>221</v>
      </c>
      <c r="D91" s="8" t="s">
        <v>198</v>
      </c>
      <c r="E91" s="115" t="s">
        <v>557</v>
      </c>
      <c r="F91" s="115">
        <v>244</v>
      </c>
      <c r="G91" s="70">
        <v>150</v>
      </c>
      <c r="H91" s="70"/>
      <c r="I91" s="70">
        <f t="shared" si="0"/>
        <v>150</v>
      </c>
      <c r="J91" s="70"/>
      <c r="K91" s="87">
        <f t="shared" si="1"/>
        <v>150</v>
      </c>
      <c r="L91" s="13"/>
      <c r="M91" s="87">
        <f aca="true" t="shared" si="25" ref="M91:M154">K91+L91</f>
        <v>150</v>
      </c>
      <c r="N91" s="13"/>
      <c r="O91" s="87">
        <f aca="true" t="shared" si="26" ref="O91:O154">M91+N91</f>
        <v>150</v>
      </c>
      <c r="P91" s="13"/>
      <c r="Q91" s="87">
        <f t="shared" si="23"/>
        <v>150</v>
      </c>
      <c r="R91" s="13"/>
      <c r="S91" s="87">
        <f t="shared" si="24"/>
        <v>150</v>
      </c>
    </row>
    <row r="92" spans="1:19" s="91" customFormat="1" ht="12.75">
      <c r="A92" s="62" t="str">
        <f ca="1">IF(ISERROR(MATCH(E92,Код_КЦСР,0)),"",INDIRECT(ADDRESS(MATCH(E92,Код_КЦСР,0)+1,2,,,"КЦСР")))</f>
        <v>Муниципальная программа «Здоровый город» на 2014-2022 годы</v>
      </c>
      <c r="B92" s="115">
        <v>801</v>
      </c>
      <c r="C92" s="8" t="s">
        <v>221</v>
      </c>
      <c r="D92" s="8" t="s">
        <v>198</v>
      </c>
      <c r="E92" s="115" t="s">
        <v>579</v>
      </c>
      <c r="F92" s="115"/>
      <c r="G92" s="70">
        <f>G93+G102</f>
        <v>1353.4</v>
      </c>
      <c r="H92" s="70">
        <f>H93+H102</f>
        <v>0</v>
      </c>
      <c r="I92" s="70">
        <f aca="true" t="shared" si="27" ref="I92:I163">G92+H92</f>
        <v>1353.4</v>
      </c>
      <c r="J92" s="70">
        <f>J93+J102</f>
        <v>0</v>
      </c>
      <c r="K92" s="87">
        <f aca="true" t="shared" si="28" ref="K92:K163">I92+J92</f>
        <v>1353.4</v>
      </c>
      <c r="L92" s="13">
        <f>L93+L102</f>
        <v>0</v>
      </c>
      <c r="M92" s="87">
        <f t="shared" si="25"/>
        <v>1353.4</v>
      </c>
      <c r="N92" s="13">
        <f>N93+N102</f>
        <v>0</v>
      </c>
      <c r="O92" s="87">
        <f t="shared" si="26"/>
        <v>1353.4</v>
      </c>
      <c r="P92" s="13">
        <f>P93+P102</f>
        <v>0</v>
      </c>
      <c r="Q92" s="87">
        <f t="shared" si="23"/>
        <v>1353.4</v>
      </c>
      <c r="R92" s="13">
        <f>R93+R102</f>
        <v>-30</v>
      </c>
      <c r="S92" s="87">
        <f t="shared" si="24"/>
        <v>1323.4</v>
      </c>
    </row>
    <row r="93" spans="1:19" s="91" customFormat="1" ht="12.75">
      <c r="A93" s="62" t="str">
        <f ca="1">IF(ISERROR(MATCH(E93,Код_КЦСР,0)),"",INDIRECT(ADDRESS(MATCH(E93,Код_КЦСР,0)+1,2,,,"КЦСР")))</f>
        <v>Организационно-методическое обеспечение Программы</v>
      </c>
      <c r="B93" s="115">
        <v>801</v>
      </c>
      <c r="C93" s="8" t="s">
        <v>221</v>
      </c>
      <c r="D93" s="8" t="s">
        <v>198</v>
      </c>
      <c r="E93" s="115" t="s">
        <v>581</v>
      </c>
      <c r="F93" s="115"/>
      <c r="G93" s="70">
        <f>G94+G100</f>
        <v>954</v>
      </c>
      <c r="H93" s="70">
        <f>H94+H100</f>
        <v>0</v>
      </c>
      <c r="I93" s="70">
        <f t="shared" si="27"/>
        <v>954</v>
      </c>
      <c r="J93" s="70">
        <f>J94+J97</f>
        <v>0</v>
      </c>
      <c r="K93" s="87">
        <f t="shared" si="28"/>
        <v>954</v>
      </c>
      <c r="L93" s="13">
        <f>L94+L97</f>
        <v>0</v>
      </c>
      <c r="M93" s="87">
        <f t="shared" si="25"/>
        <v>954</v>
      </c>
      <c r="N93" s="13">
        <f>N94+N97</f>
        <v>0</v>
      </c>
      <c r="O93" s="87">
        <f t="shared" si="26"/>
        <v>954</v>
      </c>
      <c r="P93" s="13">
        <f>P94+P97</f>
        <v>0</v>
      </c>
      <c r="Q93" s="87">
        <f t="shared" si="23"/>
        <v>954</v>
      </c>
      <c r="R93" s="13">
        <f>R94+R97</f>
        <v>-14.3</v>
      </c>
      <c r="S93" s="87">
        <f t="shared" si="24"/>
        <v>939.7</v>
      </c>
    </row>
    <row r="94" spans="1:19" s="91" customFormat="1" ht="12.75">
      <c r="A94" s="62" t="str">
        <f aca="true" t="shared" si="29" ref="A94:A101">IF(ISERROR(MATCH(F94,Код_КВР,0)),"",INDIRECT(ADDRESS(MATCH(F94,Код_КВР,0)+1,2,,,"КВР")))</f>
        <v>Закупка товаров, работ и услуг для муниципальных нужд</v>
      </c>
      <c r="B94" s="115">
        <v>801</v>
      </c>
      <c r="C94" s="8" t="s">
        <v>221</v>
      </c>
      <c r="D94" s="8" t="s">
        <v>198</v>
      </c>
      <c r="E94" s="115" t="s">
        <v>581</v>
      </c>
      <c r="F94" s="115">
        <v>200</v>
      </c>
      <c r="G94" s="70">
        <f>G95</f>
        <v>276</v>
      </c>
      <c r="H94" s="70">
        <f>H95</f>
        <v>0</v>
      </c>
      <c r="I94" s="70">
        <f t="shared" si="27"/>
        <v>276</v>
      </c>
      <c r="J94" s="70">
        <f>J95</f>
        <v>-130</v>
      </c>
      <c r="K94" s="87">
        <f t="shared" si="28"/>
        <v>146</v>
      </c>
      <c r="L94" s="13">
        <f>L95</f>
        <v>0</v>
      </c>
      <c r="M94" s="87">
        <f t="shared" si="25"/>
        <v>146</v>
      </c>
      <c r="N94" s="13">
        <f>N95</f>
        <v>0</v>
      </c>
      <c r="O94" s="87">
        <f t="shared" si="26"/>
        <v>146</v>
      </c>
      <c r="P94" s="13">
        <f>P95</f>
        <v>0</v>
      </c>
      <c r="Q94" s="87">
        <f t="shared" si="23"/>
        <v>146</v>
      </c>
      <c r="R94" s="13">
        <f>R95</f>
        <v>-8.6</v>
      </c>
      <c r="S94" s="87">
        <f t="shared" si="24"/>
        <v>137.4</v>
      </c>
    </row>
    <row r="95" spans="1:19" s="91" customFormat="1" ht="33">
      <c r="A95" s="62" t="str">
        <f ca="1" t="shared" si="29"/>
        <v>Иные закупки товаров, работ и услуг для обеспечения муниципальных нужд</v>
      </c>
      <c r="B95" s="115">
        <v>801</v>
      </c>
      <c r="C95" s="8" t="s">
        <v>221</v>
      </c>
      <c r="D95" s="8" t="s">
        <v>198</v>
      </c>
      <c r="E95" s="115" t="s">
        <v>581</v>
      </c>
      <c r="F95" s="115">
        <v>240</v>
      </c>
      <c r="G95" s="70">
        <f>G96</f>
        <v>276</v>
      </c>
      <c r="H95" s="70">
        <f>H96</f>
        <v>0</v>
      </c>
      <c r="I95" s="70">
        <f t="shared" si="27"/>
        <v>276</v>
      </c>
      <c r="J95" s="70">
        <f>J96</f>
        <v>-130</v>
      </c>
      <c r="K95" s="87">
        <f t="shared" si="28"/>
        <v>146</v>
      </c>
      <c r="L95" s="13">
        <f>L96</f>
        <v>0</v>
      </c>
      <c r="M95" s="87">
        <f t="shared" si="25"/>
        <v>146</v>
      </c>
      <c r="N95" s="13">
        <f>N96</f>
        <v>0</v>
      </c>
      <c r="O95" s="87">
        <f t="shared" si="26"/>
        <v>146</v>
      </c>
      <c r="P95" s="13">
        <f>P96</f>
        <v>0</v>
      </c>
      <c r="Q95" s="87">
        <f t="shared" si="23"/>
        <v>146</v>
      </c>
      <c r="R95" s="13">
        <f>R96</f>
        <v>-8.6</v>
      </c>
      <c r="S95" s="87">
        <f t="shared" si="24"/>
        <v>137.4</v>
      </c>
    </row>
    <row r="96" spans="1:19" s="91" customFormat="1" ht="33">
      <c r="A96" s="62" t="str">
        <f ca="1" t="shared" si="29"/>
        <v xml:space="preserve">Прочая закупка товаров, работ и услуг для обеспечения муниципальных нужд         </v>
      </c>
      <c r="B96" s="115">
        <v>801</v>
      </c>
      <c r="C96" s="8" t="s">
        <v>221</v>
      </c>
      <c r="D96" s="8" t="s">
        <v>198</v>
      </c>
      <c r="E96" s="115" t="s">
        <v>581</v>
      </c>
      <c r="F96" s="115">
        <v>244</v>
      </c>
      <c r="G96" s="70">
        <v>276</v>
      </c>
      <c r="H96" s="70"/>
      <c r="I96" s="70">
        <f t="shared" si="27"/>
        <v>276</v>
      </c>
      <c r="J96" s="70">
        <v>-130</v>
      </c>
      <c r="K96" s="87">
        <f t="shared" si="28"/>
        <v>146</v>
      </c>
      <c r="L96" s="13"/>
      <c r="M96" s="87">
        <f t="shared" si="25"/>
        <v>146</v>
      </c>
      <c r="N96" s="13"/>
      <c r="O96" s="87">
        <f t="shared" si="26"/>
        <v>146</v>
      </c>
      <c r="P96" s="13"/>
      <c r="Q96" s="87">
        <f t="shared" si="23"/>
        <v>146</v>
      </c>
      <c r="R96" s="13">
        <v>-8.6</v>
      </c>
      <c r="S96" s="87">
        <f t="shared" si="24"/>
        <v>137.4</v>
      </c>
    </row>
    <row r="97" spans="1:19" s="91" customFormat="1" ht="12.75">
      <c r="A97" s="62" t="str">
        <f ca="1" t="shared" si="29"/>
        <v>Иные бюджетные ассигнования</v>
      </c>
      <c r="B97" s="115">
        <v>801</v>
      </c>
      <c r="C97" s="8" t="s">
        <v>221</v>
      </c>
      <c r="D97" s="8" t="s">
        <v>198</v>
      </c>
      <c r="E97" s="115" t="s">
        <v>581</v>
      </c>
      <c r="F97" s="115">
        <v>800</v>
      </c>
      <c r="G97" s="70"/>
      <c r="H97" s="70"/>
      <c r="I97" s="70">
        <f>I98+I100</f>
        <v>678</v>
      </c>
      <c r="J97" s="70">
        <f>J98+J100</f>
        <v>130</v>
      </c>
      <c r="K97" s="87">
        <f t="shared" si="28"/>
        <v>808</v>
      </c>
      <c r="L97" s="13">
        <f>L98+L100</f>
        <v>0</v>
      </c>
      <c r="M97" s="87">
        <f t="shared" si="25"/>
        <v>808</v>
      </c>
      <c r="N97" s="13">
        <f>N98+N100</f>
        <v>0</v>
      </c>
      <c r="O97" s="87">
        <f t="shared" si="26"/>
        <v>808</v>
      </c>
      <c r="P97" s="13">
        <f>P98+P100</f>
        <v>0</v>
      </c>
      <c r="Q97" s="87">
        <f t="shared" si="23"/>
        <v>808</v>
      </c>
      <c r="R97" s="13">
        <f>R98+R100</f>
        <v>-5.7</v>
      </c>
      <c r="S97" s="87">
        <f t="shared" si="24"/>
        <v>802.3</v>
      </c>
    </row>
    <row r="98" spans="1:19" s="91" customFormat="1" ht="12.75">
      <c r="A98" s="62" t="str">
        <f ca="1" t="shared" si="29"/>
        <v>Уплата налогов, сборов и иных платежей</v>
      </c>
      <c r="B98" s="115">
        <v>801</v>
      </c>
      <c r="C98" s="8" t="s">
        <v>221</v>
      </c>
      <c r="D98" s="8" t="s">
        <v>198</v>
      </c>
      <c r="E98" s="115" t="s">
        <v>581</v>
      </c>
      <c r="F98" s="115">
        <v>850</v>
      </c>
      <c r="G98" s="70"/>
      <c r="H98" s="70"/>
      <c r="I98" s="70"/>
      <c r="J98" s="70">
        <f>J99</f>
        <v>678</v>
      </c>
      <c r="K98" s="87">
        <f t="shared" si="28"/>
        <v>678</v>
      </c>
      <c r="L98" s="13">
        <f>L99</f>
        <v>0</v>
      </c>
      <c r="M98" s="87">
        <f t="shared" si="25"/>
        <v>678</v>
      </c>
      <c r="N98" s="13">
        <f>N99</f>
        <v>0</v>
      </c>
      <c r="O98" s="87">
        <f t="shared" si="26"/>
        <v>678</v>
      </c>
      <c r="P98" s="13">
        <f>P99</f>
        <v>0</v>
      </c>
      <c r="Q98" s="87">
        <f t="shared" si="23"/>
        <v>678</v>
      </c>
      <c r="R98" s="13">
        <f>R99</f>
        <v>0</v>
      </c>
      <c r="S98" s="87">
        <f t="shared" si="24"/>
        <v>678</v>
      </c>
    </row>
    <row r="99" spans="1:19" s="91" customFormat="1" ht="12.75">
      <c r="A99" s="62" t="str">
        <f ca="1" t="shared" si="29"/>
        <v>Уплата прочих налогов, сборов и иных платежей</v>
      </c>
      <c r="B99" s="115">
        <v>801</v>
      </c>
      <c r="C99" s="8" t="s">
        <v>221</v>
      </c>
      <c r="D99" s="8" t="s">
        <v>198</v>
      </c>
      <c r="E99" s="115" t="s">
        <v>581</v>
      </c>
      <c r="F99" s="115">
        <v>852</v>
      </c>
      <c r="G99" s="70"/>
      <c r="H99" s="70"/>
      <c r="I99" s="70"/>
      <c r="J99" s="70">
        <v>678</v>
      </c>
      <c r="K99" s="87">
        <f t="shared" si="28"/>
        <v>678</v>
      </c>
      <c r="L99" s="13"/>
      <c r="M99" s="87">
        <f t="shared" si="25"/>
        <v>678</v>
      </c>
      <c r="N99" s="13"/>
      <c r="O99" s="87">
        <f t="shared" si="26"/>
        <v>678</v>
      </c>
      <c r="P99" s="13"/>
      <c r="Q99" s="87">
        <f t="shared" si="23"/>
        <v>678</v>
      </c>
      <c r="R99" s="13"/>
      <c r="S99" s="87">
        <f t="shared" si="24"/>
        <v>678</v>
      </c>
    </row>
    <row r="100" spans="1:19" s="91" customFormat="1" ht="33">
      <c r="A100" s="62" t="str">
        <f ca="1" t="shared" si="29"/>
        <v>Предоставление платежей, взносов, безвозмездных перечислений субъектам международного права</v>
      </c>
      <c r="B100" s="115">
        <v>801</v>
      </c>
      <c r="C100" s="8" t="s">
        <v>221</v>
      </c>
      <c r="D100" s="8" t="s">
        <v>198</v>
      </c>
      <c r="E100" s="115" t="s">
        <v>581</v>
      </c>
      <c r="F100" s="115">
        <v>860</v>
      </c>
      <c r="G100" s="70">
        <f>G101</f>
        <v>678</v>
      </c>
      <c r="H100" s="70">
        <f>H101</f>
        <v>0</v>
      </c>
      <c r="I100" s="70">
        <f t="shared" si="27"/>
        <v>678</v>
      </c>
      <c r="J100" s="70">
        <f>J101</f>
        <v>-548</v>
      </c>
      <c r="K100" s="87">
        <f t="shared" si="28"/>
        <v>130</v>
      </c>
      <c r="L100" s="13">
        <f>L101</f>
        <v>0</v>
      </c>
      <c r="M100" s="87">
        <f t="shared" si="25"/>
        <v>130</v>
      </c>
      <c r="N100" s="13">
        <f>N101</f>
        <v>0</v>
      </c>
      <c r="O100" s="87">
        <f t="shared" si="26"/>
        <v>130</v>
      </c>
      <c r="P100" s="13">
        <f>P101</f>
        <v>0</v>
      </c>
      <c r="Q100" s="87">
        <f t="shared" si="23"/>
        <v>130</v>
      </c>
      <c r="R100" s="13">
        <f>R101</f>
        <v>-5.7</v>
      </c>
      <c r="S100" s="87">
        <f t="shared" si="24"/>
        <v>124.3</v>
      </c>
    </row>
    <row r="101" spans="1:19" s="91" customFormat="1" ht="12.75">
      <c r="A101" s="62" t="str">
        <f ca="1" t="shared" si="29"/>
        <v>Взносы в международные организации</v>
      </c>
      <c r="B101" s="115">
        <v>801</v>
      </c>
      <c r="C101" s="8" t="s">
        <v>221</v>
      </c>
      <c r="D101" s="8" t="s">
        <v>198</v>
      </c>
      <c r="E101" s="115" t="s">
        <v>581</v>
      </c>
      <c r="F101" s="115">
        <v>862</v>
      </c>
      <c r="G101" s="70">
        <v>678</v>
      </c>
      <c r="H101" s="70"/>
      <c r="I101" s="70">
        <f t="shared" si="27"/>
        <v>678</v>
      </c>
      <c r="J101" s="70">
        <f>130-678</f>
        <v>-548</v>
      </c>
      <c r="K101" s="87">
        <f t="shared" si="28"/>
        <v>130</v>
      </c>
      <c r="L101" s="13"/>
      <c r="M101" s="87">
        <f t="shared" si="25"/>
        <v>130</v>
      </c>
      <c r="N101" s="13"/>
      <c r="O101" s="87">
        <f t="shared" si="26"/>
        <v>130</v>
      </c>
      <c r="P101" s="13"/>
      <c r="Q101" s="87">
        <f t="shared" si="23"/>
        <v>130</v>
      </c>
      <c r="R101" s="13">
        <v>-5.7</v>
      </c>
      <c r="S101" s="87">
        <f t="shared" si="24"/>
        <v>124.3</v>
      </c>
    </row>
    <row r="102" spans="1:19" s="91" customFormat="1" ht="12.75">
      <c r="A102" s="62" t="str">
        <f ca="1">IF(ISERROR(MATCH(E102,Код_КЦСР,0)),"",INDIRECT(ADDRESS(MATCH(E102,Код_КЦСР,0)+1,2,,,"КЦСР")))</f>
        <v>Пропаганда здорового образа жизни</v>
      </c>
      <c r="B102" s="115">
        <v>801</v>
      </c>
      <c r="C102" s="8" t="s">
        <v>221</v>
      </c>
      <c r="D102" s="8" t="s">
        <v>198</v>
      </c>
      <c r="E102" s="115" t="s">
        <v>584</v>
      </c>
      <c r="F102" s="115"/>
      <c r="G102" s="70">
        <f aca="true" t="shared" si="30" ref="G102:R104">G103</f>
        <v>399.4</v>
      </c>
      <c r="H102" s="70">
        <f t="shared" si="30"/>
        <v>0</v>
      </c>
      <c r="I102" s="70">
        <f t="shared" si="27"/>
        <v>399.4</v>
      </c>
      <c r="J102" s="70">
        <f t="shared" si="30"/>
        <v>0</v>
      </c>
      <c r="K102" s="87">
        <f t="shared" si="28"/>
        <v>399.4</v>
      </c>
      <c r="L102" s="13">
        <f t="shared" si="30"/>
        <v>0</v>
      </c>
      <c r="M102" s="87">
        <f t="shared" si="25"/>
        <v>399.4</v>
      </c>
      <c r="N102" s="13">
        <f t="shared" si="30"/>
        <v>0</v>
      </c>
      <c r="O102" s="87">
        <f t="shared" si="26"/>
        <v>399.4</v>
      </c>
      <c r="P102" s="13">
        <f t="shared" si="30"/>
        <v>0</v>
      </c>
      <c r="Q102" s="87">
        <f t="shared" si="23"/>
        <v>399.4</v>
      </c>
      <c r="R102" s="13">
        <f t="shared" si="30"/>
        <v>-15.7</v>
      </c>
      <c r="S102" s="87">
        <f t="shared" si="24"/>
        <v>383.7</v>
      </c>
    </row>
    <row r="103" spans="1:19" s="91" customFormat="1" ht="12.75">
      <c r="A103" s="62" t="str">
        <f ca="1">IF(ISERROR(MATCH(F103,Код_КВР,0)),"",INDIRECT(ADDRESS(MATCH(F103,Код_КВР,0)+1,2,,,"КВР")))</f>
        <v>Закупка товаров, работ и услуг для муниципальных нужд</v>
      </c>
      <c r="B103" s="115">
        <v>801</v>
      </c>
      <c r="C103" s="8" t="s">
        <v>221</v>
      </c>
      <c r="D103" s="8" t="s">
        <v>198</v>
      </c>
      <c r="E103" s="115" t="s">
        <v>584</v>
      </c>
      <c r="F103" s="115">
        <v>200</v>
      </c>
      <c r="G103" s="70">
        <f t="shared" si="30"/>
        <v>399.4</v>
      </c>
      <c r="H103" s="70">
        <f t="shared" si="30"/>
        <v>0</v>
      </c>
      <c r="I103" s="70">
        <f t="shared" si="27"/>
        <v>399.4</v>
      </c>
      <c r="J103" s="70">
        <f t="shared" si="30"/>
        <v>0</v>
      </c>
      <c r="K103" s="87">
        <f t="shared" si="28"/>
        <v>399.4</v>
      </c>
      <c r="L103" s="13">
        <f t="shared" si="30"/>
        <v>0</v>
      </c>
      <c r="M103" s="87">
        <f t="shared" si="25"/>
        <v>399.4</v>
      </c>
      <c r="N103" s="13">
        <f t="shared" si="30"/>
        <v>0</v>
      </c>
      <c r="O103" s="87">
        <f t="shared" si="26"/>
        <v>399.4</v>
      </c>
      <c r="P103" s="13">
        <f t="shared" si="30"/>
        <v>0</v>
      </c>
      <c r="Q103" s="87">
        <f t="shared" si="23"/>
        <v>399.4</v>
      </c>
      <c r="R103" s="13">
        <f t="shared" si="30"/>
        <v>-15.7</v>
      </c>
      <c r="S103" s="87">
        <f t="shared" si="24"/>
        <v>383.7</v>
      </c>
    </row>
    <row r="104" spans="1:19" s="91" customFormat="1" ht="33">
      <c r="A104" s="62" t="str">
        <f ca="1">IF(ISERROR(MATCH(F104,Код_КВР,0)),"",INDIRECT(ADDRESS(MATCH(F104,Код_КВР,0)+1,2,,,"КВР")))</f>
        <v>Иные закупки товаров, работ и услуг для обеспечения муниципальных нужд</v>
      </c>
      <c r="B104" s="115">
        <v>801</v>
      </c>
      <c r="C104" s="8" t="s">
        <v>221</v>
      </c>
      <c r="D104" s="8" t="s">
        <v>198</v>
      </c>
      <c r="E104" s="115" t="s">
        <v>584</v>
      </c>
      <c r="F104" s="115">
        <v>240</v>
      </c>
      <c r="G104" s="70">
        <f t="shared" si="30"/>
        <v>399.4</v>
      </c>
      <c r="H104" s="70">
        <f t="shared" si="30"/>
        <v>0</v>
      </c>
      <c r="I104" s="70">
        <f t="shared" si="27"/>
        <v>399.4</v>
      </c>
      <c r="J104" s="70">
        <f t="shared" si="30"/>
        <v>0</v>
      </c>
      <c r="K104" s="87">
        <f t="shared" si="28"/>
        <v>399.4</v>
      </c>
      <c r="L104" s="13">
        <f t="shared" si="30"/>
        <v>0</v>
      </c>
      <c r="M104" s="87">
        <f t="shared" si="25"/>
        <v>399.4</v>
      </c>
      <c r="N104" s="13">
        <f t="shared" si="30"/>
        <v>0</v>
      </c>
      <c r="O104" s="87">
        <f t="shared" si="26"/>
        <v>399.4</v>
      </c>
      <c r="P104" s="13">
        <f t="shared" si="30"/>
        <v>0</v>
      </c>
      <c r="Q104" s="87">
        <f t="shared" si="23"/>
        <v>399.4</v>
      </c>
      <c r="R104" s="13">
        <f t="shared" si="30"/>
        <v>-15.7</v>
      </c>
      <c r="S104" s="87">
        <f t="shared" si="24"/>
        <v>383.7</v>
      </c>
    </row>
    <row r="105" spans="1:19" s="91" customFormat="1" ht="33">
      <c r="A105" s="62" t="str">
        <f ca="1">IF(ISERROR(MATCH(F105,Код_КВР,0)),"",INDIRECT(ADDRESS(MATCH(F105,Код_КВР,0)+1,2,,,"КВР")))</f>
        <v xml:space="preserve">Прочая закупка товаров, работ и услуг для обеспечения муниципальных нужд         </v>
      </c>
      <c r="B105" s="115">
        <v>801</v>
      </c>
      <c r="C105" s="8" t="s">
        <v>221</v>
      </c>
      <c r="D105" s="8" t="s">
        <v>198</v>
      </c>
      <c r="E105" s="115" t="s">
        <v>584</v>
      </c>
      <c r="F105" s="115">
        <v>244</v>
      </c>
      <c r="G105" s="70">
        <v>399.4</v>
      </c>
      <c r="H105" s="70"/>
      <c r="I105" s="70">
        <f t="shared" si="27"/>
        <v>399.4</v>
      </c>
      <c r="J105" s="70"/>
      <c r="K105" s="87">
        <f t="shared" si="28"/>
        <v>399.4</v>
      </c>
      <c r="L105" s="13"/>
      <c r="M105" s="87">
        <f t="shared" si="25"/>
        <v>399.4</v>
      </c>
      <c r="N105" s="13"/>
      <c r="O105" s="87">
        <f t="shared" si="26"/>
        <v>399.4</v>
      </c>
      <c r="P105" s="13"/>
      <c r="Q105" s="87">
        <f t="shared" si="23"/>
        <v>399.4</v>
      </c>
      <c r="R105" s="13">
        <v>-15.7</v>
      </c>
      <c r="S105" s="87">
        <f t="shared" si="24"/>
        <v>383.7</v>
      </c>
    </row>
    <row r="106" spans="1:19" s="91" customFormat="1" ht="33">
      <c r="A106" s="62" t="str">
        <f ca="1">IF(ISERROR(MATCH(E106,Код_КЦСР,0)),"",INDIRECT(ADDRESS(MATCH(E106,Код_КЦСР,0)+1,2,,,"КЦСР")))</f>
        <v>Муниципальная программа «Развитие земельно-имущественного комплекса  города Череповца» на 2014-2018 годы</v>
      </c>
      <c r="B106" s="115">
        <v>801</v>
      </c>
      <c r="C106" s="8" t="s">
        <v>221</v>
      </c>
      <c r="D106" s="8" t="s">
        <v>198</v>
      </c>
      <c r="E106" s="115" t="s">
        <v>62</v>
      </c>
      <c r="F106" s="115"/>
      <c r="G106" s="70"/>
      <c r="H106" s="70"/>
      <c r="I106" s="70"/>
      <c r="J106" s="70">
        <f>J107</f>
        <v>7674.900000000001</v>
      </c>
      <c r="K106" s="87">
        <f t="shared" si="28"/>
        <v>7674.900000000001</v>
      </c>
      <c r="L106" s="13">
        <f>L107</f>
        <v>1130</v>
      </c>
      <c r="M106" s="87">
        <f t="shared" si="25"/>
        <v>8804.900000000001</v>
      </c>
      <c r="N106" s="13">
        <f>N107</f>
        <v>0</v>
      </c>
      <c r="O106" s="87">
        <f t="shared" si="26"/>
        <v>8804.900000000001</v>
      </c>
      <c r="P106" s="13">
        <f>P107</f>
        <v>0</v>
      </c>
      <c r="Q106" s="87">
        <f t="shared" si="23"/>
        <v>8804.900000000001</v>
      </c>
      <c r="R106" s="13">
        <f>R107</f>
        <v>-289</v>
      </c>
      <c r="S106" s="87">
        <f t="shared" si="24"/>
        <v>8515.900000000001</v>
      </c>
    </row>
    <row r="107" spans="1:19" s="91" customFormat="1" ht="33">
      <c r="A107" s="62" t="str">
        <f ca="1">IF(ISERROR(MATCH(E107,Код_КЦСР,0)),"",INDIRECT(ADDRESS(MATCH(E107,Код_КЦСР,0)+1,2,,,"КЦСР")))</f>
        <v>Формирование и обеспечение сохранности муниципального земельно-имущественного комплекса</v>
      </c>
      <c r="B107" s="115">
        <v>801</v>
      </c>
      <c r="C107" s="8" t="s">
        <v>221</v>
      </c>
      <c r="D107" s="8" t="s">
        <v>198</v>
      </c>
      <c r="E107" s="115" t="s">
        <v>64</v>
      </c>
      <c r="F107" s="115"/>
      <c r="G107" s="70"/>
      <c r="H107" s="70"/>
      <c r="I107" s="70"/>
      <c r="J107" s="70">
        <f>J108</f>
        <v>7674.900000000001</v>
      </c>
      <c r="K107" s="87">
        <f t="shared" si="28"/>
        <v>7674.900000000001</v>
      </c>
      <c r="L107" s="13">
        <f>L108</f>
        <v>1130</v>
      </c>
      <c r="M107" s="87">
        <f t="shared" si="25"/>
        <v>8804.900000000001</v>
      </c>
      <c r="N107" s="13">
        <f>N108</f>
        <v>0</v>
      </c>
      <c r="O107" s="87">
        <f t="shared" si="26"/>
        <v>8804.900000000001</v>
      </c>
      <c r="P107" s="13">
        <f>P108</f>
        <v>0</v>
      </c>
      <c r="Q107" s="87">
        <f t="shared" si="23"/>
        <v>8804.900000000001</v>
      </c>
      <c r="R107" s="13">
        <f>R108</f>
        <v>-289</v>
      </c>
      <c r="S107" s="87">
        <f t="shared" si="24"/>
        <v>8515.900000000001</v>
      </c>
    </row>
    <row r="108" spans="1:19" s="91" customFormat="1" ht="12.75">
      <c r="A108" s="62" t="str">
        <f ca="1">IF(ISERROR(MATCH(F108,Код_КВР,0)),"",INDIRECT(ADDRESS(MATCH(F108,Код_КВР,0)+1,2,,,"КВР")))</f>
        <v>Закупка товаров, работ и услуг для муниципальных нужд</v>
      </c>
      <c r="B108" s="115">
        <v>801</v>
      </c>
      <c r="C108" s="8" t="s">
        <v>221</v>
      </c>
      <c r="D108" s="8" t="s">
        <v>198</v>
      </c>
      <c r="E108" s="115" t="s">
        <v>64</v>
      </c>
      <c r="F108" s="115">
        <v>200</v>
      </c>
      <c r="G108" s="70"/>
      <c r="H108" s="70"/>
      <c r="I108" s="70"/>
      <c r="J108" s="70">
        <f>J109</f>
        <v>7674.900000000001</v>
      </c>
      <c r="K108" s="87">
        <f t="shared" si="28"/>
        <v>7674.900000000001</v>
      </c>
      <c r="L108" s="13">
        <f>L109</f>
        <v>1130</v>
      </c>
      <c r="M108" s="87">
        <f t="shared" si="25"/>
        <v>8804.900000000001</v>
      </c>
      <c r="N108" s="13">
        <f>N109</f>
        <v>0</v>
      </c>
      <c r="O108" s="87">
        <f t="shared" si="26"/>
        <v>8804.900000000001</v>
      </c>
      <c r="P108" s="13">
        <f>P109</f>
        <v>0</v>
      </c>
      <c r="Q108" s="87">
        <f t="shared" si="23"/>
        <v>8804.900000000001</v>
      </c>
      <c r="R108" s="13">
        <f>R109</f>
        <v>-289</v>
      </c>
      <c r="S108" s="87">
        <f t="shared" si="24"/>
        <v>8515.900000000001</v>
      </c>
    </row>
    <row r="109" spans="1:19" s="91" customFormat="1" ht="33">
      <c r="A109" s="62" t="str">
        <f ca="1">IF(ISERROR(MATCH(F109,Код_КВР,0)),"",INDIRECT(ADDRESS(MATCH(F109,Код_КВР,0)+1,2,,,"КВР")))</f>
        <v>Иные закупки товаров, работ и услуг для обеспечения муниципальных нужд</v>
      </c>
      <c r="B109" s="115">
        <v>801</v>
      </c>
      <c r="C109" s="8" t="s">
        <v>221</v>
      </c>
      <c r="D109" s="8" t="s">
        <v>198</v>
      </c>
      <c r="E109" s="115" t="s">
        <v>64</v>
      </c>
      <c r="F109" s="115">
        <v>240</v>
      </c>
      <c r="G109" s="70"/>
      <c r="H109" s="70"/>
      <c r="I109" s="70"/>
      <c r="J109" s="70">
        <f>J110</f>
        <v>7674.900000000001</v>
      </c>
      <c r="K109" s="87">
        <f t="shared" si="28"/>
        <v>7674.900000000001</v>
      </c>
      <c r="L109" s="13">
        <f>L110</f>
        <v>1130</v>
      </c>
      <c r="M109" s="87">
        <f t="shared" si="25"/>
        <v>8804.900000000001</v>
      </c>
      <c r="N109" s="13">
        <f>N110</f>
        <v>0</v>
      </c>
      <c r="O109" s="87">
        <f t="shared" si="26"/>
        <v>8804.900000000001</v>
      </c>
      <c r="P109" s="13">
        <f>P110</f>
        <v>0</v>
      </c>
      <c r="Q109" s="87">
        <f t="shared" si="23"/>
        <v>8804.900000000001</v>
      </c>
      <c r="R109" s="13">
        <f>R110</f>
        <v>-289</v>
      </c>
      <c r="S109" s="87">
        <f t="shared" si="24"/>
        <v>8515.900000000001</v>
      </c>
    </row>
    <row r="110" spans="1:19" s="91" customFormat="1" ht="33">
      <c r="A110" s="62" t="str">
        <f ca="1">IF(ISERROR(MATCH(F110,Код_КВР,0)),"",INDIRECT(ADDRESS(MATCH(F110,Код_КВР,0)+1,2,,,"КВР")))</f>
        <v xml:space="preserve">Прочая закупка товаров, работ и услуг для обеспечения муниципальных нужд         </v>
      </c>
      <c r="B110" s="115">
        <v>801</v>
      </c>
      <c r="C110" s="8" t="s">
        <v>221</v>
      </c>
      <c r="D110" s="8" t="s">
        <v>198</v>
      </c>
      <c r="E110" s="115" t="s">
        <v>64</v>
      </c>
      <c r="F110" s="115">
        <v>244</v>
      </c>
      <c r="G110" s="70"/>
      <c r="H110" s="70"/>
      <c r="I110" s="70"/>
      <c r="J110" s="70">
        <f>7758.6-83.7</f>
        <v>7674.900000000001</v>
      </c>
      <c r="K110" s="87">
        <f t="shared" si="28"/>
        <v>7674.900000000001</v>
      </c>
      <c r="L110" s="13">
        <v>1130</v>
      </c>
      <c r="M110" s="87">
        <f t="shared" si="25"/>
        <v>8804.900000000001</v>
      </c>
      <c r="N110" s="13"/>
      <c r="O110" s="87">
        <f t="shared" si="26"/>
        <v>8804.900000000001</v>
      </c>
      <c r="P110" s="13"/>
      <c r="Q110" s="87">
        <f t="shared" si="23"/>
        <v>8804.900000000001</v>
      </c>
      <c r="R110" s="13">
        <v>-289</v>
      </c>
      <c r="S110" s="87">
        <f t="shared" si="24"/>
        <v>8515.900000000001</v>
      </c>
    </row>
    <row r="111" spans="1:19" s="91" customFormat="1" ht="33">
      <c r="A111" s="62" t="str">
        <f ca="1">IF(ISERROR(MATCH(E111,Код_КЦСР,0)),"",INDIRECT(ADDRESS(MATCH(E111,Код_КЦСР,0)+1,2,,,"КЦСР")))</f>
        <v>Муниципальная программа «Совершенствование муниципального управления в городе Череповце» на 2014-2018 годы</v>
      </c>
      <c r="B111" s="115">
        <v>801</v>
      </c>
      <c r="C111" s="8" t="s">
        <v>221</v>
      </c>
      <c r="D111" s="8" t="s">
        <v>198</v>
      </c>
      <c r="E111" s="115" t="s">
        <v>126</v>
      </c>
      <c r="F111" s="115"/>
      <c r="G111" s="70">
        <f>G112+G123+G128</f>
        <v>102561.1</v>
      </c>
      <c r="H111" s="70">
        <f>H112+H123+H128</f>
        <v>0</v>
      </c>
      <c r="I111" s="70">
        <f t="shared" si="27"/>
        <v>102561.1</v>
      </c>
      <c r="J111" s="70">
        <f>J112+J123+J128</f>
        <v>1364.5</v>
      </c>
      <c r="K111" s="87">
        <f t="shared" si="28"/>
        <v>103925.6</v>
      </c>
      <c r="L111" s="13">
        <f>L112+L123+L128</f>
        <v>-207</v>
      </c>
      <c r="M111" s="87">
        <f t="shared" si="25"/>
        <v>103718.6</v>
      </c>
      <c r="N111" s="13">
        <f>N112+N123+N128</f>
        <v>0</v>
      </c>
      <c r="O111" s="87">
        <f t="shared" si="26"/>
        <v>103718.6</v>
      </c>
      <c r="P111" s="13">
        <f>P112+P123+P128</f>
        <v>0</v>
      </c>
      <c r="Q111" s="87">
        <f t="shared" si="23"/>
        <v>103718.6</v>
      </c>
      <c r="R111" s="13">
        <f>R112+R123+R128</f>
        <v>289</v>
      </c>
      <c r="S111" s="87">
        <f t="shared" si="24"/>
        <v>104007.6</v>
      </c>
    </row>
    <row r="112" spans="1:19" s="91" customFormat="1" ht="33">
      <c r="A112" s="62" t="str">
        <f ca="1">IF(ISERROR(MATCH(E112,Код_КЦСР,0)),"",INDIRECT(ADDRESS(MATCH(E112,Код_КЦСР,0)+1,2,,,"КЦСР")))</f>
        <v>Создание условий для обеспечения выполнения органами муниципальной власти своих полномочий</v>
      </c>
      <c r="B112" s="115">
        <v>801</v>
      </c>
      <c r="C112" s="8" t="s">
        <v>221</v>
      </c>
      <c r="D112" s="8" t="s">
        <v>198</v>
      </c>
      <c r="E112" s="115" t="s">
        <v>127</v>
      </c>
      <c r="F112" s="115"/>
      <c r="G112" s="70">
        <f>G113</f>
        <v>74353.2</v>
      </c>
      <c r="H112" s="70">
        <f>H113</f>
        <v>0</v>
      </c>
      <c r="I112" s="70">
        <f t="shared" si="27"/>
        <v>74353.2</v>
      </c>
      <c r="J112" s="70">
        <f>J113</f>
        <v>1364.5</v>
      </c>
      <c r="K112" s="87">
        <f t="shared" si="28"/>
        <v>75717.7</v>
      </c>
      <c r="L112" s="13">
        <f>L113</f>
        <v>0</v>
      </c>
      <c r="M112" s="87">
        <f t="shared" si="25"/>
        <v>75717.7</v>
      </c>
      <c r="N112" s="13">
        <f>N113</f>
        <v>0</v>
      </c>
      <c r="O112" s="87">
        <f t="shared" si="26"/>
        <v>75717.7</v>
      </c>
      <c r="P112" s="13">
        <f>P113</f>
        <v>0</v>
      </c>
      <c r="Q112" s="87">
        <f t="shared" si="23"/>
        <v>75717.7</v>
      </c>
      <c r="R112" s="13">
        <f>R113</f>
        <v>289</v>
      </c>
      <c r="S112" s="87">
        <f t="shared" si="24"/>
        <v>76006.7</v>
      </c>
    </row>
    <row r="113" spans="1:19" s="91" customFormat="1" ht="33">
      <c r="A113" s="62" t="str">
        <f ca="1">IF(ISERROR(MATCH(E113,Код_КЦСР,0)),"",INDIRECT(ADDRESS(MATCH(E113,Код_КЦСР,0)+1,2,,,"КЦСР")))</f>
        <v>Материально-техническое обеспечение деятельности работников местного самоуправления</v>
      </c>
      <c r="B113" s="115">
        <v>801</v>
      </c>
      <c r="C113" s="8" t="s">
        <v>221</v>
      </c>
      <c r="D113" s="8" t="s">
        <v>198</v>
      </c>
      <c r="E113" s="115" t="s">
        <v>131</v>
      </c>
      <c r="F113" s="115"/>
      <c r="G113" s="70">
        <f>G114+G116+G119</f>
        <v>74353.2</v>
      </c>
      <c r="H113" s="70">
        <f>H114+H116+H119</f>
        <v>0</v>
      </c>
      <c r="I113" s="70">
        <f t="shared" si="27"/>
        <v>74353.2</v>
      </c>
      <c r="J113" s="70">
        <f>J114+J116+J119</f>
        <v>1364.5</v>
      </c>
      <c r="K113" s="87">
        <f t="shared" si="28"/>
        <v>75717.7</v>
      </c>
      <c r="L113" s="13">
        <f>L114+L116+L119</f>
        <v>0</v>
      </c>
      <c r="M113" s="87">
        <f t="shared" si="25"/>
        <v>75717.7</v>
      </c>
      <c r="N113" s="13">
        <f>N114+N116+N119</f>
        <v>0</v>
      </c>
      <c r="O113" s="87">
        <f t="shared" si="26"/>
        <v>75717.7</v>
      </c>
      <c r="P113" s="13">
        <f>P114+P116+P119</f>
        <v>0</v>
      </c>
      <c r="Q113" s="87">
        <f t="shared" si="23"/>
        <v>75717.7</v>
      </c>
      <c r="R113" s="13">
        <f>R114+R116+R119</f>
        <v>289</v>
      </c>
      <c r="S113" s="87">
        <f t="shared" si="24"/>
        <v>76006.7</v>
      </c>
    </row>
    <row r="114" spans="1:19" s="91" customFormat="1" ht="33">
      <c r="A114" s="62" t="str">
        <f aca="true" t="shared" si="31" ref="A114:A120">IF(ISERROR(MATCH(F114,Код_КВР,0)),"",INDIRECT(ADDRESS(MATCH(F114,Код_КВР,0)+1,2,,,"КВР")))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" s="115">
        <v>801</v>
      </c>
      <c r="C114" s="8" t="s">
        <v>221</v>
      </c>
      <c r="D114" s="8" t="s">
        <v>198</v>
      </c>
      <c r="E114" s="115" t="s">
        <v>131</v>
      </c>
      <c r="F114" s="115">
        <v>100</v>
      </c>
      <c r="G114" s="70">
        <f>G115</f>
        <v>37037.1</v>
      </c>
      <c r="H114" s="70">
        <f>H115</f>
        <v>0</v>
      </c>
      <c r="I114" s="70">
        <f t="shared" si="27"/>
        <v>37037.1</v>
      </c>
      <c r="J114" s="70">
        <f>J115</f>
        <v>431.7</v>
      </c>
      <c r="K114" s="87">
        <f t="shared" si="28"/>
        <v>37468.799999999996</v>
      </c>
      <c r="L114" s="13">
        <f>L115</f>
        <v>0</v>
      </c>
      <c r="M114" s="87">
        <f t="shared" si="25"/>
        <v>37468.799999999996</v>
      </c>
      <c r="N114" s="13">
        <f>N115</f>
        <v>0</v>
      </c>
      <c r="O114" s="87">
        <f t="shared" si="26"/>
        <v>37468.799999999996</v>
      </c>
      <c r="P114" s="13">
        <f>P115</f>
        <v>0</v>
      </c>
      <c r="Q114" s="87">
        <f t="shared" si="23"/>
        <v>37468.799999999996</v>
      </c>
      <c r="R114" s="13">
        <f>R115</f>
        <v>0</v>
      </c>
      <c r="S114" s="87">
        <f t="shared" si="24"/>
        <v>37468.799999999996</v>
      </c>
    </row>
    <row r="115" spans="1:19" s="91" customFormat="1" ht="12.75">
      <c r="A115" s="62" t="str">
        <f ca="1" t="shared" si="31"/>
        <v>Расходы на выплаты персоналу казенных учреждений</v>
      </c>
      <c r="B115" s="115">
        <v>801</v>
      </c>
      <c r="C115" s="8" t="s">
        <v>221</v>
      </c>
      <c r="D115" s="8" t="s">
        <v>198</v>
      </c>
      <c r="E115" s="115" t="s">
        <v>131</v>
      </c>
      <c r="F115" s="115">
        <v>110</v>
      </c>
      <c r="G115" s="70">
        <f>36851.2+185.9</f>
        <v>37037.1</v>
      </c>
      <c r="H115" s="70"/>
      <c r="I115" s="70">
        <f t="shared" si="27"/>
        <v>37037.1</v>
      </c>
      <c r="J115" s="70">
        <f>348+83.7</f>
        <v>431.7</v>
      </c>
      <c r="K115" s="87">
        <f t="shared" si="28"/>
        <v>37468.799999999996</v>
      </c>
      <c r="L115" s="13"/>
      <c r="M115" s="87">
        <f t="shared" si="25"/>
        <v>37468.799999999996</v>
      </c>
      <c r="N115" s="13"/>
      <c r="O115" s="87">
        <f t="shared" si="26"/>
        <v>37468.799999999996</v>
      </c>
      <c r="P115" s="13"/>
      <c r="Q115" s="87">
        <f t="shared" si="23"/>
        <v>37468.799999999996</v>
      </c>
      <c r="R115" s="13"/>
      <c r="S115" s="87">
        <f t="shared" si="24"/>
        <v>37468.799999999996</v>
      </c>
    </row>
    <row r="116" spans="1:19" s="91" customFormat="1" ht="12.75">
      <c r="A116" s="62" t="str">
        <f ca="1" t="shared" si="31"/>
        <v>Закупка товаров, работ и услуг для муниципальных нужд</v>
      </c>
      <c r="B116" s="115">
        <v>801</v>
      </c>
      <c r="C116" s="8" t="s">
        <v>221</v>
      </c>
      <c r="D116" s="8" t="s">
        <v>198</v>
      </c>
      <c r="E116" s="115" t="s">
        <v>131</v>
      </c>
      <c r="F116" s="115">
        <v>200</v>
      </c>
      <c r="G116" s="70">
        <f>G117</f>
        <v>34357.8</v>
      </c>
      <c r="H116" s="70">
        <f>H117</f>
        <v>0</v>
      </c>
      <c r="I116" s="70">
        <f t="shared" si="27"/>
        <v>34357.8</v>
      </c>
      <c r="J116" s="70">
        <f>J117</f>
        <v>932.8</v>
      </c>
      <c r="K116" s="87">
        <f t="shared" si="28"/>
        <v>35290.600000000006</v>
      </c>
      <c r="L116" s="13">
        <f>L117</f>
        <v>0</v>
      </c>
      <c r="M116" s="87">
        <f t="shared" si="25"/>
        <v>35290.600000000006</v>
      </c>
      <c r="N116" s="13">
        <f>N117</f>
        <v>0</v>
      </c>
      <c r="O116" s="87">
        <f t="shared" si="26"/>
        <v>35290.600000000006</v>
      </c>
      <c r="P116" s="13">
        <f>P117</f>
        <v>0</v>
      </c>
      <c r="Q116" s="87">
        <f t="shared" si="23"/>
        <v>35290.600000000006</v>
      </c>
      <c r="R116" s="13">
        <f>R117</f>
        <v>289</v>
      </c>
      <c r="S116" s="87">
        <f t="shared" si="24"/>
        <v>35579.600000000006</v>
      </c>
    </row>
    <row r="117" spans="1:19" s="91" customFormat="1" ht="33">
      <c r="A117" s="62" t="str">
        <f ca="1" t="shared" si="31"/>
        <v>Иные закупки товаров, работ и услуг для обеспечения муниципальных нужд</v>
      </c>
      <c r="B117" s="115">
        <v>801</v>
      </c>
      <c r="C117" s="8" t="s">
        <v>221</v>
      </c>
      <c r="D117" s="8" t="s">
        <v>198</v>
      </c>
      <c r="E117" s="115" t="s">
        <v>131</v>
      </c>
      <c r="F117" s="115">
        <v>240</v>
      </c>
      <c r="G117" s="70">
        <f>G118</f>
        <v>34357.8</v>
      </c>
      <c r="H117" s="70">
        <f>H118</f>
        <v>0</v>
      </c>
      <c r="I117" s="70">
        <f t="shared" si="27"/>
        <v>34357.8</v>
      </c>
      <c r="J117" s="70">
        <f>J118</f>
        <v>932.8</v>
      </c>
      <c r="K117" s="87">
        <f t="shared" si="28"/>
        <v>35290.600000000006</v>
      </c>
      <c r="L117" s="13">
        <f>L118</f>
        <v>0</v>
      </c>
      <c r="M117" s="87">
        <f t="shared" si="25"/>
        <v>35290.600000000006</v>
      </c>
      <c r="N117" s="13">
        <f>N118</f>
        <v>0</v>
      </c>
      <c r="O117" s="87">
        <f t="shared" si="26"/>
        <v>35290.600000000006</v>
      </c>
      <c r="P117" s="13">
        <f>P118</f>
        <v>0</v>
      </c>
      <c r="Q117" s="87">
        <f t="shared" si="23"/>
        <v>35290.600000000006</v>
      </c>
      <c r="R117" s="13">
        <f>R118</f>
        <v>289</v>
      </c>
      <c r="S117" s="87">
        <f t="shared" si="24"/>
        <v>35579.600000000006</v>
      </c>
    </row>
    <row r="118" spans="1:19" s="91" customFormat="1" ht="33">
      <c r="A118" s="62" t="str">
        <f ca="1" t="shared" si="31"/>
        <v xml:space="preserve">Прочая закупка товаров, работ и услуг для обеспечения муниципальных нужд         </v>
      </c>
      <c r="B118" s="115">
        <v>801</v>
      </c>
      <c r="C118" s="8" t="s">
        <v>221</v>
      </c>
      <c r="D118" s="8" t="s">
        <v>198</v>
      </c>
      <c r="E118" s="115" t="s">
        <v>131</v>
      </c>
      <c r="F118" s="115">
        <v>244</v>
      </c>
      <c r="G118" s="70">
        <v>34357.8</v>
      </c>
      <c r="H118" s="70"/>
      <c r="I118" s="70">
        <f t="shared" si="27"/>
        <v>34357.8</v>
      </c>
      <c r="J118" s="70">
        <f>504.7+361.6+66.5</f>
        <v>932.8</v>
      </c>
      <c r="K118" s="87">
        <f t="shared" si="28"/>
        <v>35290.600000000006</v>
      </c>
      <c r="L118" s="13"/>
      <c r="M118" s="87">
        <f t="shared" si="25"/>
        <v>35290.600000000006</v>
      </c>
      <c r="N118" s="13"/>
      <c r="O118" s="87">
        <f t="shared" si="26"/>
        <v>35290.600000000006</v>
      </c>
      <c r="P118" s="13"/>
      <c r="Q118" s="87">
        <f t="shared" si="23"/>
        <v>35290.600000000006</v>
      </c>
      <c r="R118" s="13">
        <v>289</v>
      </c>
      <c r="S118" s="87">
        <f t="shared" si="24"/>
        <v>35579.600000000006</v>
      </c>
    </row>
    <row r="119" spans="1:19" s="91" customFormat="1" ht="12.75">
      <c r="A119" s="62" t="str">
        <f ca="1" t="shared" si="31"/>
        <v>Иные бюджетные ассигнования</v>
      </c>
      <c r="B119" s="115">
        <v>801</v>
      </c>
      <c r="C119" s="8" t="s">
        <v>221</v>
      </c>
      <c r="D119" s="8" t="s">
        <v>198</v>
      </c>
      <c r="E119" s="115" t="s">
        <v>131</v>
      </c>
      <c r="F119" s="115">
        <v>800</v>
      </c>
      <c r="G119" s="70">
        <f>G120</f>
        <v>2958.2999999999997</v>
      </c>
      <c r="H119" s="70">
        <f>H120</f>
        <v>0</v>
      </c>
      <c r="I119" s="70">
        <f t="shared" si="27"/>
        <v>2958.2999999999997</v>
      </c>
      <c r="J119" s="70">
        <f>J120</f>
        <v>0</v>
      </c>
      <c r="K119" s="87">
        <f t="shared" si="28"/>
        <v>2958.2999999999997</v>
      </c>
      <c r="L119" s="13">
        <f>L120</f>
        <v>0</v>
      </c>
      <c r="M119" s="87">
        <f t="shared" si="25"/>
        <v>2958.2999999999997</v>
      </c>
      <c r="N119" s="13">
        <f>N120</f>
        <v>0</v>
      </c>
      <c r="O119" s="87">
        <f t="shared" si="26"/>
        <v>2958.2999999999997</v>
      </c>
      <c r="P119" s="13">
        <f>P120</f>
        <v>0</v>
      </c>
      <c r="Q119" s="87">
        <f t="shared" si="23"/>
        <v>2958.2999999999997</v>
      </c>
      <c r="R119" s="13">
        <f>R120</f>
        <v>0</v>
      </c>
      <c r="S119" s="87">
        <f t="shared" si="24"/>
        <v>2958.2999999999997</v>
      </c>
    </row>
    <row r="120" spans="1:19" s="91" customFormat="1" ht="12.75">
      <c r="A120" s="62" t="str">
        <f ca="1" t="shared" si="31"/>
        <v>Уплата налогов, сборов и иных платежей</v>
      </c>
      <c r="B120" s="115">
        <v>801</v>
      </c>
      <c r="C120" s="8" t="s">
        <v>221</v>
      </c>
      <c r="D120" s="8" t="s">
        <v>198</v>
      </c>
      <c r="E120" s="115" t="s">
        <v>131</v>
      </c>
      <c r="F120" s="115">
        <v>850</v>
      </c>
      <c r="G120" s="70">
        <f>SUM(G121:G122)</f>
        <v>2958.2999999999997</v>
      </c>
      <c r="H120" s="70">
        <f>SUM(H121:H122)</f>
        <v>0</v>
      </c>
      <c r="I120" s="70">
        <f t="shared" si="27"/>
        <v>2958.2999999999997</v>
      </c>
      <c r="J120" s="70">
        <f>SUM(J121:J122)</f>
        <v>0</v>
      </c>
      <c r="K120" s="87">
        <f t="shared" si="28"/>
        <v>2958.2999999999997</v>
      </c>
      <c r="L120" s="13">
        <f>SUM(L121:L122)</f>
        <v>0</v>
      </c>
      <c r="M120" s="87">
        <f t="shared" si="25"/>
        <v>2958.2999999999997</v>
      </c>
      <c r="N120" s="13">
        <f>SUM(N121:N122)</f>
        <v>0</v>
      </c>
      <c r="O120" s="87">
        <f t="shared" si="26"/>
        <v>2958.2999999999997</v>
      </c>
      <c r="P120" s="13">
        <f>SUM(P121:P122)</f>
        <v>0</v>
      </c>
      <c r="Q120" s="87">
        <f t="shared" si="23"/>
        <v>2958.2999999999997</v>
      </c>
      <c r="R120" s="13">
        <f>SUM(R121:R122)</f>
        <v>0</v>
      </c>
      <c r="S120" s="87">
        <f t="shared" si="24"/>
        <v>2958.2999999999997</v>
      </c>
    </row>
    <row r="121" spans="1:19" s="91" customFormat="1" ht="12.75">
      <c r="A121" s="62" t="str">
        <f ca="1">IF(ISERROR(MATCH(F121,Код_КВР,0)),"",INDIRECT(ADDRESS(MATCH(F121,Код_КВР,0)+1,2,,,"КВР")))</f>
        <v>Уплата налога на имущество организаций и земельного налога</v>
      </c>
      <c r="B121" s="115">
        <v>801</v>
      </c>
      <c r="C121" s="8" t="s">
        <v>221</v>
      </c>
      <c r="D121" s="8" t="s">
        <v>198</v>
      </c>
      <c r="E121" s="115" t="s">
        <v>131</v>
      </c>
      <c r="F121" s="115">
        <v>851</v>
      </c>
      <c r="G121" s="70">
        <v>2591.6</v>
      </c>
      <c r="H121" s="70"/>
      <c r="I121" s="70">
        <f t="shared" si="27"/>
        <v>2591.6</v>
      </c>
      <c r="J121" s="70"/>
      <c r="K121" s="87">
        <f t="shared" si="28"/>
        <v>2591.6</v>
      </c>
      <c r="L121" s="13"/>
      <c r="M121" s="87">
        <f t="shared" si="25"/>
        <v>2591.6</v>
      </c>
      <c r="N121" s="13"/>
      <c r="O121" s="87">
        <f t="shared" si="26"/>
        <v>2591.6</v>
      </c>
      <c r="P121" s="13"/>
      <c r="Q121" s="87">
        <f t="shared" si="23"/>
        <v>2591.6</v>
      </c>
      <c r="R121" s="13"/>
      <c r="S121" s="87">
        <f t="shared" si="24"/>
        <v>2591.6</v>
      </c>
    </row>
    <row r="122" spans="1:19" s="91" customFormat="1" ht="12.75">
      <c r="A122" s="62" t="str">
        <f ca="1">IF(ISERROR(MATCH(F122,Код_КВР,0)),"",INDIRECT(ADDRESS(MATCH(F122,Код_КВР,0)+1,2,,,"КВР")))</f>
        <v>Уплата прочих налогов, сборов и иных платежей</v>
      </c>
      <c r="B122" s="115">
        <v>801</v>
      </c>
      <c r="C122" s="8" t="s">
        <v>221</v>
      </c>
      <c r="D122" s="8" t="s">
        <v>198</v>
      </c>
      <c r="E122" s="115" t="s">
        <v>131</v>
      </c>
      <c r="F122" s="115">
        <v>852</v>
      </c>
      <c r="G122" s="70">
        <v>366.7</v>
      </c>
      <c r="H122" s="70"/>
      <c r="I122" s="70">
        <f t="shared" si="27"/>
        <v>366.7</v>
      </c>
      <c r="J122" s="70"/>
      <c r="K122" s="87">
        <f t="shared" si="28"/>
        <v>366.7</v>
      </c>
      <c r="L122" s="13"/>
      <c r="M122" s="87">
        <f t="shared" si="25"/>
        <v>366.7</v>
      </c>
      <c r="N122" s="13"/>
      <c r="O122" s="87">
        <f t="shared" si="26"/>
        <v>366.7</v>
      </c>
      <c r="P122" s="13"/>
      <c r="Q122" s="87">
        <f t="shared" si="23"/>
        <v>366.7</v>
      </c>
      <c r="R122" s="13"/>
      <c r="S122" s="87">
        <f t="shared" si="24"/>
        <v>366.7</v>
      </c>
    </row>
    <row r="123" spans="1:19" s="91" customFormat="1" ht="12.75">
      <c r="A123" s="62" t="str">
        <f ca="1">IF(ISERROR(MATCH(E123,Код_КЦСР,0)),"",INDIRECT(ADDRESS(MATCH(E123,Код_КЦСР,0)+1,2,,,"КЦСР")))</f>
        <v>Развитие муниципальной службы в мэрии города Череповца</v>
      </c>
      <c r="B123" s="115">
        <v>801</v>
      </c>
      <c r="C123" s="8" t="s">
        <v>221</v>
      </c>
      <c r="D123" s="8" t="s">
        <v>198</v>
      </c>
      <c r="E123" s="115" t="s">
        <v>133</v>
      </c>
      <c r="F123" s="115"/>
      <c r="G123" s="70">
        <f aca="true" t="shared" si="32" ref="G123:R126">G124</f>
        <v>350</v>
      </c>
      <c r="H123" s="70">
        <f t="shared" si="32"/>
        <v>0</v>
      </c>
      <c r="I123" s="70">
        <f t="shared" si="27"/>
        <v>350</v>
      </c>
      <c r="J123" s="70">
        <f t="shared" si="32"/>
        <v>0</v>
      </c>
      <c r="K123" s="87">
        <f t="shared" si="28"/>
        <v>350</v>
      </c>
      <c r="L123" s="13">
        <f t="shared" si="32"/>
        <v>-77</v>
      </c>
      <c r="M123" s="87">
        <f t="shared" si="25"/>
        <v>273</v>
      </c>
      <c r="N123" s="13">
        <f t="shared" si="32"/>
        <v>0</v>
      </c>
      <c r="O123" s="87">
        <f t="shared" si="26"/>
        <v>273</v>
      </c>
      <c r="P123" s="13">
        <f t="shared" si="32"/>
        <v>0</v>
      </c>
      <c r="Q123" s="87">
        <f t="shared" si="23"/>
        <v>273</v>
      </c>
      <c r="R123" s="13">
        <f t="shared" si="32"/>
        <v>0</v>
      </c>
      <c r="S123" s="87">
        <f t="shared" si="24"/>
        <v>273</v>
      </c>
    </row>
    <row r="124" spans="1:19" s="91" customFormat="1" ht="38.25" customHeight="1">
      <c r="A124" s="62" t="str">
        <f ca="1">IF(ISERROR(MATCH(E124,Код_КЦСР,0)),"",INDIRECT(ADDRESS(MATCH(E124,Код_КЦСР,0)+1,2,,,"КЦСР")))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24" s="115">
        <v>801</v>
      </c>
      <c r="C124" s="8" t="s">
        <v>221</v>
      </c>
      <c r="D124" s="8" t="s">
        <v>198</v>
      </c>
      <c r="E124" s="115" t="s">
        <v>135</v>
      </c>
      <c r="F124" s="115"/>
      <c r="G124" s="70">
        <f t="shared" si="32"/>
        <v>350</v>
      </c>
      <c r="H124" s="70">
        <f t="shared" si="32"/>
        <v>0</v>
      </c>
      <c r="I124" s="70">
        <f t="shared" si="27"/>
        <v>350</v>
      </c>
      <c r="J124" s="70">
        <f t="shared" si="32"/>
        <v>0</v>
      </c>
      <c r="K124" s="87">
        <f t="shared" si="28"/>
        <v>350</v>
      </c>
      <c r="L124" s="13">
        <f t="shared" si="32"/>
        <v>-77</v>
      </c>
      <c r="M124" s="87">
        <f t="shared" si="25"/>
        <v>273</v>
      </c>
      <c r="N124" s="13">
        <f t="shared" si="32"/>
        <v>0</v>
      </c>
      <c r="O124" s="87">
        <f t="shared" si="26"/>
        <v>273</v>
      </c>
      <c r="P124" s="13">
        <f t="shared" si="32"/>
        <v>0</v>
      </c>
      <c r="Q124" s="87">
        <f t="shared" si="23"/>
        <v>273</v>
      </c>
      <c r="R124" s="13">
        <f t="shared" si="32"/>
        <v>0</v>
      </c>
      <c r="S124" s="87">
        <f t="shared" si="24"/>
        <v>273</v>
      </c>
    </row>
    <row r="125" spans="1:19" s="91" customFormat="1" ht="12.75">
      <c r="A125" s="62" t="str">
        <f ca="1">IF(ISERROR(MATCH(F125,Код_КВР,0)),"",INDIRECT(ADDRESS(MATCH(F125,Код_КВР,0)+1,2,,,"КВР")))</f>
        <v>Закупка товаров, работ и услуг для муниципальных нужд</v>
      </c>
      <c r="B125" s="115">
        <v>801</v>
      </c>
      <c r="C125" s="8" t="s">
        <v>221</v>
      </c>
      <c r="D125" s="8" t="s">
        <v>198</v>
      </c>
      <c r="E125" s="115" t="s">
        <v>135</v>
      </c>
      <c r="F125" s="115">
        <v>200</v>
      </c>
      <c r="G125" s="70">
        <f t="shared" si="32"/>
        <v>350</v>
      </c>
      <c r="H125" s="70">
        <f t="shared" si="32"/>
        <v>0</v>
      </c>
      <c r="I125" s="70">
        <f t="shared" si="27"/>
        <v>350</v>
      </c>
      <c r="J125" s="70">
        <f t="shared" si="32"/>
        <v>0</v>
      </c>
      <c r="K125" s="87">
        <f t="shared" si="28"/>
        <v>350</v>
      </c>
      <c r="L125" s="13">
        <f t="shared" si="32"/>
        <v>-77</v>
      </c>
      <c r="M125" s="87">
        <f t="shared" si="25"/>
        <v>273</v>
      </c>
      <c r="N125" s="13">
        <f t="shared" si="32"/>
        <v>0</v>
      </c>
      <c r="O125" s="87">
        <f t="shared" si="26"/>
        <v>273</v>
      </c>
      <c r="P125" s="13">
        <f t="shared" si="32"/>
        <v>0</v>
      </c>
      <c r="Q125" s="87">
        <f t="shared" si="23"/>
        <v>273</v>
      </c>
      <c r="R125" s="13">
        <f t="shared" si="32"/>
        <v>0</v>
      </c>
      <c r="S125" s="87">
        <f t="shared" si="24"/>
        <v>273</v>
      </c>
    </row>
    <row r="126" spans="1:19" s="91" customFormat="1" ht="33">
      <c r="A126" s="62" t="str">
        <f ca="1">IF(ISERROR(MATCH(F126,Код_КВР,0)),"",INDIRECT(ADDRESS(MATCH(F126,Код_КВР,0)+1,2,,,"КВР")))</f>
        <v>Иные закупки товаров, работ и услуг для обеспечения муниципальных нужд</v>
      </c>
      <c r="B126" s="115">
        <v>801</v>
      </c>
      <c r="C126" s="8" t="s">
        <v>221</v>
      </c>
      <c r="D126" s="8" t="s">
        <v>198</v>
      </c>
      <c r="E126" s="115" t="s">
        <v>135</v>
      </c>
      <c r="F126" s="115">
        <v>240</v>
      </c>
      <c r="G126" s="70">
        <f t="shared" si="32"/>
        <v>350</v>
      </c>
      <c r="H126" s="70">
        <f t="shared" si="32"/>
        <v>0</v>
      </c>
      <c r="I126" s="70">
        <f t="shared" si="27"/>
        <v>350</v>
      </c>
      <c r="J126" s="70">
        <f t="shared" si="32"/>
        <v>0</v>
      </c>
      <c r="K126" s="87">
        <f t="shared" si="28"/>
        <v>350</v>
      </c>
      <c r="L126" s="13">
        <f t="shared" si="32"/>
        <v>-77</v>
      </c>
      <c r="M126" s="87">
        <f t="shared" si="25"/>
        <v>273</v>
      </c>
      <c r="N126" s="13">
        <f t="shared" si="32"/>
        <v>0</v>
      </c>
      <c r="O126" s="87">
        <f t="shared" si="26"/>
        <v>273</v>
      </c>
      <c r="P126" s="13">
        <f t="shared" si="32"/>
        <v>0</v>
      </c>
      <c r="Q126" s="87">
        <f t="shared" si="23"/>
        <v>273</v>
      </c>
      <c r="R126" s="13">
        <f t="shared" si="32"/>
        <v>0</v>
      </c>
      <c r="S126" s="87">
        <f t="shared" si="24"/>
        <v>273</v>
      </c>
    </row>
    <row r="127" spans="1:19" s="91" customFormat="1" ht="33">
      <c r="A127" s="62" t="str">
        <f ca="1">IF(ISERROR(MATCH(F127,Код_КВР,0)),"",INDIRECT(ADDRESS(MATCH(F127,Код_КВР,0)+1,2,,,"КВР")))</f>
        <v xml:space="preserve">Прочая закупка товаров, работ и услуг для обеспечения муниципальных нужд         </v>
      </c>
      <c r="B127" s="115">
        <v>801</v>
      </c>
      <c r="C127" s="8" t="s">
        <v>221</v>
      </c>
      <c r="D127" s="8" t="s">
        <v>198</v>
      </c>
      <c r="E127" s="115" t="s">
        <v>135</v>
      </c>
      <c r="F127" s="115">
        <v>244</v>
      </c>
      <c r="G127" s="70">
        <v>350</v>
      </c>
      <c r="H127" s="70"/>
      <c r="I127" s="70">
        <f t="shared" si="27"/>
        <v>350</v>
      </c>
      <c r="J127" s="70"/>
      <c r="K127" s="87">
        <f t="shared" si="28"/>
        <v>350</v>
      </c>
      <c r="L127" s="13">
        <v>-77</v>
      </c>
      <c r="M127" s="87">
        <f t="shared" si="25"/>
        <v>273</v>
      </c>
      <c r="N127" s="13"/>
      <c r="O127" s="87">
        <f t="shared" si="26"/>
        <v>273</v>
      </c>
      <c r="P127" s="13"/>
      <c r="Q127" s="87">
        <f t="shared" si="23"/>
        <v>273</v>
      </c>
      <c r="R127" s="13"/>
      <c r="S127" s="87">
        <f t="shared" si="24"/>
        <v>273</v>
      </c>
    </row>
    <row r="128" spans="1:19" s="91" customFormat="1" ht="70.7" customHeight="1">
      <c r="A128" s="62" t="str">
        <f ca="1">IF(ISERROR(MATCH(E128,Код_КЦСР,0)),"",INDIRECT(ADDRESS(MATCH(E128,Код_КЦСР,0)+1,2,,,"КЦСР")))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28" s="115">
        <v>801</v>
      </c>
      <c r="C128" s="8" t="s">
        <v>221</v>
      </c>
      <c r="D128" s="8" t="s">
        <v>198</v>
      </c>
      <c r="E128" s="115" t="s">
        <v>138</v>
      </c>
      <c r="F128" s="115"/>
      <c r="G128" s="70">
        <f aca="true" t="shared" si="33" ref="G128:R130">G129</f>
        <v>27857.9</v>
      </c>
      <c r="H128" s="70">
        <f t="shared" si="33"/>
        <v>0</v>
      </c>
      <c r="I128" s="70">
        <f t="shared" si="27"/>
        <v>27857.9</v>
      </c>
      <c r="J128" s="70">
        <f t="shared" si="33"/>
        <v>0</v>
      </c>
      <c r="K128" s="87">
        <f t="shared" si="28"/>
        <v>27857.9</v>
      </c>
      <c r="L128" s="13">
        <f t="shared" si="33"/>
        <v>-130</v>
      </c>
      <c r="M128" s="87">
        <f t="shared" si="25"/>
        <v>27727.9</v>
      </c>
      <c r="N128" s="13">
        <f t="shared" si="33"/>
        <v>0</v>
      </c>
      <c r="O128" s="87">
        <f t="shared" si="26"/>
        <v>27727.9</v>
      </c>
      <c r="P128" s="13">
        <f t="shared" si="33"/>
        <v>0</v>
      </c>
      <c r="Q128" s="87">
        <f t="shared" si="23"/>
        <v>27727.9</v>
      </c>
      <c r="R128" s="13">
        <f t="shared" si="33"/>
        <v>0</v>
      </c>
      <c r="S128" s="87">
        <f t="shared" si="24"/>
        <v>27727.9</v>
      </c>
    </row>
    <row r="129" spans="1:19" s="91" customFormat="1" ht="12.75">
      <c r="A129" s="62" t="str">
        <f ca="1">IF(ISERROR(MATCH(E129,Код_КЦСР,0)),"",INDIRECT(ADDRESS(MATCH(E129,Код_КЦСР,0)+1,2,,,"КЦСР")))</f>
        <v>Создание и организация деятельности многофункционального центра</v>
      </c>
      <c r="B129" s="115">
        <v>801</v>
      </c>
      <c r="C129" s="8" t="s">
        <v>221</v>
      </c>
      <c r="D129" s="8" t="s">
        <v>198</v>
      </c>
      <c r="E129" s="115" t="s">
        <v>142</v>
      </c>
      <c r="F129" s="115"/>
      <c r="G129" s="70">
        <f t="shared" si="33"/>
        <v>27857.9</v>
      </c>
      <c r="H129" s="70">
        <f t="shared" si="33"/>
        <v>0</v>
      </c>
      <c r="I129" s="70">
        <f t="shared" si="27"/>
        <v>27857.9</v>
      </c>
      <c r="J129" s="70">
        <f t="shared" si="33"/>
        <v>0</v>
      </c>
      <c r="K129" s="87">
        <f t="shared" si="28"/>
        <v>27857.9</v>
      </c>
      <c r="L129" s="13">
        <f t="shared" si="33"/>
        <v>-130</v>
      </c>
      <c r="M129" s="87">
        <f t="shared" si="25"/>
        <v>27727.9</v>
      </c>
      <c r="N129" s="13">
        <f t="shared" si="33"/>
        <v>0</v>
      </c>
      <c r="O129" s="87">
        <f t="shared" si="26"/>
        <v>27727.9</v>
      </c>
      <c r="P129" s="13">
        <f t="shared" si="33"/>
        <v>0</v>
      </c>
      <c r="Q129" s="87">
        <f t="shared" si="23"/>
        <v>27727.9</v>
      </c>
      <c r="R129" s="13">
        <f t="shared" si="33"/>
        <v>0</v>
      </c>
      <c r="S129" s="87">
        <f t="shared" si="24"/>
        <v>27727.9</v>
      </c>
    </row>
    <row r="130" spans="1:19" s="91" customFormat="1" ht="33">
      <c r="A130" s="62" t="str">
        <f ca="1">IF(ISERROR(MATCH(F130,Код_КВР,0)),"",INDIRECT(ADDRESS(MATCH(F130,Код_КВР,0)+1,2,,,"КВР")))</f>
        <v>Предоставление субсидий бюджетным, автономным учреждениям и иным некоммерческим организациям</v>
      </c>
      <c r="B130" s="115">
        <v>801</v>
      </c>
      <c r="C130" s="8" t="s">
        <v>221</v>
      </c>
      <c r="D130" s="8" t="s">
        <v>198</v>
      </c>
      <c r="E130" s="115" t="s">
        <v>142</v>
      </c>
      <c r="F130" s="115">
        <v>600</v>
      </c>
      <c r="G130" s="70">
        <f t="shared" si="33"/>
        <v>27857.9</v>
      </c>
      <c r="H130" s="70">
        <f t="shared" si="33"/>
        <v>0</v>
      </c>
      <c r="I130" s="70">
        <f t="shared" si="27"/>
        <v>27857.9</v>
      </c>
      <c r="J130" s="70">
        <f t="shared" si="33"/>
        <v>0</v>
      </c>
      <c r="K130" s="87">
        <f t="shared" si="28"/>
        <v>27857.9</v>
      </c>
      <c r="L130" s="13">
        <f t="shared" si="33"/>
        <v>-130</v>
      </c>
      <c r="M130" s="87">
        <f t="shared" si="25"/>
        <v>27727.9</v>
      </c>
      <c r="N130" s="13">
        <f t="shared" si="33"/>
        <v>0</v>
      </c>
      <c r="O130" s="87">
        <f t="shared" si="26"/>
        <v>27727.9</v>
      </c>
      <c r="P130" s="13">
        <f t="shared" si="33"/>
        <v>0</v>
      </c>
      <c r="Q130" s="87">
        <f t="shared" si="23"/>
        <v>27727.9</v>
      </c>
      <c r="R130" s="13">
        <f t="shared" si="33"/>
        <v>0</v>
      </c>
      <c r="S130" s="87">
        <f t="shared" si="24"/>
        <v>27727.9</v>
      </c>
    </row>
    <row r="131" spans="1:19" s="91" customFormat="1" ht="12.75">
      <c r="A131" s="62" t="str">
        <f ca="1">IF(ISERROR(MATCH(F131,Код_КВР,0)),"",INDIRECT(ADDRESS(MATCH(F131,Код_КВР,0)+1,2,,,"КВР")))</f>
        <v>Субсидии бюджетным учреждениям</v>
      </c>
      <c r="B131" s="115">
        <v>801</v>
      </c>
      <c r="C131" s="8" t="s">
        <v>221</v>
      </c>
      <c r="D131" s="8" t="s">
        <v>198</v>
      </c>
      <c r="E131" s="115" t="s">
        <v>142</v>
      </c>
      <c r="F131" s="115">
        <v>610</v>
      </c>
      <c r="G131" s="70">
        <f>SUM(G132:G133)</f>
        <v>27857.9</v>
      </c>
      <c r="H131" s="70">
        <f>SUM(H132:H133)</f>
        <v>0</v>
      </c>
      <c r="I131" s="70">
        <f t="shared" si="27"/>
        <v>27857.9</v>
      </c>
      <c r="J131" s="70">
        <f>SUM(J132:J133)</f>
        <v>0</v>
      </c>
      <c r="K131" s="87">
        <f t="shared" si="28"/>
        <v>27857.9</v>
      </c>
      <c r="L131" s="13">
        <f>SUM(L132:L133)</f>
        <v>-130</v>
      </c>
      <c r="M131" s="87">
        <f t="shared" si="25"/>
        <v>27727.9</v>
      </c>
      <c r="N131" s="13">
        <f>SUM(N132:N133)</f>
        <v>0</v>
      </c>
      <c r="O131" s="87">
        <f t="shared" si="26"/>
        <v>27727.9</v>
      </c>
      <c r="P131" s="13">
        <f>SUM(P132:P133)</f>
        <v>0</v>
      </c>
      <c r="Q131" s="87">
        <f t="shared" si="23"/>
        <v>27727.9</v>
      </c>
      <c r="R131" s="13">
        <f>SUM(R132:R133)</f>
        <v>0</v>
      </c>
      <c r="S131" s="87">
        <f t="shared" si="24"/>
        <v>27727.9</v>
      </c>
    </row>
    <row r="132" spans="1:19" s="91" customFormat="1" ht="49.5">
      <c r="A132" s="62" t="str">
        <f ca="1">IF(ISERROR(MATCH(F132,Код_КВР,0)),"",INDIRECT(ADDRESS(MATCH(F132,Код_КВР,0)+1,2,,,"КВР")))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2" s="115">
        <v>801</v>
      </c>
      <c r="C132" s="8" t="s">
        <v>221</v>
      </c>
      <c r="D132" s="8" t="s">
        <v>198</v>
      </c>
      <c r="E132" s="115" t="s">
        <v>142</v>
      </c>
      <c r="F132" s="115">
        <v>611</v>
      </c>
      <c r="G132" s="70">
        <v>27757.9</v>
      </c>
      <c r="H132" s="70"/>
      <c r="I132" s="70">
        <f t="shared" si="27"/>
        <v>27757.9</v>
      </c>
      <c r="J132" s="70"/>
      <c r="K132" s="87">
        <f t="shared" si="28"/>
        <v>27757.9</v>
      </c>
      <c r="L132" s="13">
        <f>-65-65</f>
        <v>-130</v>
      </c>
      <c r="M132" s="87">
        <f t="shared" si="25"/>
        <v>27627.9</v>
      </c>
      <c r="N132" s="13"/>
      <c r="O132" s="87">
        <f t="shared" si="26"/>
        <v>27627.9</v>
      </c>
      <c r="P132" s="13"/>
      <c r="Q132" s="87">
        <f t="shared" si="23"/>
        <v>27627.9</v>
      </c>
      <c r="R132" s="13"/>
      <c r="S132" s="87">
        <f t="shared" si="24"/>
        <v>27627.9</v>
      </c>
    </row>
    <row r="133" spans="1:19" s="91" customFormat="1" ht="12.75">
      <c r="A133" s="62" t="str">
        <f ca="1">IF(ISERROR(MATCH(F133,Код_КВР,0)),"",INDIRECT(ADDRESS(MATCH(F133,Код_КВР,0)+1,2,,,"КВР")))</f>
        <v>Субсидии бюджетным учреждениям на иные цели</v>
      </c>
      <c r="B133" s="115">
        <v>801</v>
      </c>
      <c r="C133" s="8" t="s">
        <v>221</v>
      </c>
      <c r="D133" s="8" t="s">
        <v>198</v>
      </c>
      <c r="E133" s="115" t="s">
        <v>142</v>
      </c>
      <c r="F133" s="115">
        <v>612</v>
      </c>
      <c r="G133" s="70">
        <v>100</v>
      </c>
      <c r="H133" s="70"/>
      <c r="I133" s="70">
        <f t="shared" si="27"/>
        <v>100</v>
      </c>
      <c r="J133" s="70"/>
      <c r="K133" s="87">
        <f t="shared" si="28"/>
        <v>100</v>
      </c>
      <c r="L133" s="13"/>
      <c r="M133" s="87">
        <f t="shared" si="25"/>
        <v>100</v>
      </c>
      <c r="N133" s="13"/>
      <c r="O133" s="87">
        <f t="shared" si="26"/>
        <v>100</v>
      </c>
      <c r="P133" s="13"/>
      <c r="Q133" s="87">
        <f t="shared" si="23"/>
        <v>100</v>
      </c>
      <c r="R133" s="13"/>
      <c r="S133" s="87">
        <f t="shared" si="24"/>
        <v>100</v>
      </c>
    </row>
    <row r="134" spans="1:19" s="91" customFormat="1" ht="33">
      <c r="A134" s="62" t="str">
        <f ca="1">IF(ISERROR(MATCH(E134,Код_КЦСР,0)),"",INDIRECT(ADDRESS(MATCH(E134,Код_КЦСР,0)+1,2,,,"КЦСР")))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34" s="115">
        <v>801</v>
      </c>
      <c r="C134" s="8" t="s">
        <v>221</v>
      </c>
      <c r="D134" s="8" t="s">
        <v>198</v>
      </c>
      <c r="E134" s="115" t="s">
        <v>144</v>
      </c>
      <c r="F134" s="115"/>
      <c r="G134" s="70">
        <f>G135+G139+G143+G147</f>
        <v>1683.2</v>
      </c>
      <c r="H134" s="70">
        <f>H135+H139+H143+H147</f>
        <v>0</v>
      </c>
      <c r="I134" s="70">
        <f t="shared" si="27"/>
        <v>1683.2</v>
      </c>
      <c r="J134" s="70">
        <f>J135+J139+J143+J147</f>
        <v>0</v>
      </c>
      <c r="K134" s="87">
        <f t="shared" si="28"/>
        <v>1683.2</v>
      </c>
      <c r="L134" s="13">
        <f>L135+L139+L143+L147</f>
        <v>-72</v>
      </c>
      <c r="M134" s="87">
        <f t="shared" si="25"/>
        <v>1611.2</v>
      </c>
      <c r="N134" s="13">
        <f>N135+N139+N143+N147</f>
        <v>205.6</v>
      </c>
      <c r="O134" s="87">
        <f t="shared" si="26"/>
        <v>1816.8</v>
      </c>
      <c r="P134" s="13">
        <f>P135+P139+P143+P147</f>
        <v>0</v>
      </c>
      <c r="Q134" s="87">
        <f t="shared" si="23"/>
        <v>1816.8</v>
      </c>
      <c r="R134" s="13">
        <f>R135+R139+R143+R147</f>
        <v>188.89999999999998</v>
      </c>
      <c r="S134" s="87">
        <f t="shared" si="24"/>
        <v>2005.6999999999998</v>
      </c>
    </row>
    <row r="135" spans="1:19" s="91" customFormat="1" ht="12.75" hidden="1">
      <c r="A135" s="62" t="str">
        <f ca="1">IF(ISERROR(MATCH(E135,Код_КЦСР,0)),"",INDIRECT(ADDRESS(MATCH(E135,Код_КЦСР,0)+1,2,,,"КЦСР")))</f>
        <v>Создание системы территориального общественного самоуправления</v>
      </c>
      <c r="B135" s="115">
        <v>801</v>
      </c>
      <c r="C135" s="8" t="s">
        <v>221</v>
      </c>
      <c r="D135" s="8" t="s">
        <v>198</v>
      </c>
      <c r="E135" s="115" t="s">
        <v>146</v>
      </c>
      <c r="F135" s="115"/>
      <c r="G135" s="70">
        <f aca="true" t="shared" si="34" ref="G135:R137">G136</f>
        <v>72</v>
      </c>
      <c r="H135" s="70">
        <f t="shared" si="34"/>
        <v>0</v>
      </c>
      <c r="I135" s="70">
        <f t="shared" si="27"/>
        <v>72</v>
      </c>
      <c r="J135" s="70">
        <f t="shared" si="34"/>
        <v>0</v>
      </c>
      <c r="K135" s="87">
        <f t="shared" si="28"/>
        <v>72</v>
      </c>
      <c r="L135" s="13">
        <f t="shared" si="34"/>
        <v>-72</v>
      </c>
      <c r="M135" s="87">
        <f t="shared" si="25"/>
        <v>0</v>
      </c>
      <c r="N135" s="13">
        <f t="shared" si="34"/>
        <v>0</v>
      </c>
      <c r="O135" s="87">
        <f t="shared" si="26"/>
        <v>0</v>
      </c>
      <c r="P135" s="13">
        <f t="shared" si="34"/>
        <v>0</v>
      </c>
      <c r="Q135" s="87">
        <f t="shared" si="23"/>
        <v>0</v>
      </c>
      <c r="R135" s="13">
        <f t="shared" si="34"/>
        <v>0</v>
      </c>
      <c r="S135" s="87">
        <f t="shared" si="24"/>
        <v>0</v>
      </c>
    </row>
    <row r="136" spans="1:19" s="91" customFormat="1" ht="12.75" hidden="1">
      <c r="A136" s="62" t="str">
        <f ca="1">IF(ISERROR(MATCH(F136,Код_КВР,0)),"",INDIRECT(ADDRESS(MATCH(F136,Код_КВР,0)+1,2,,,"КВР")))</f>
        <v>Закупка товаров, работ и услуг для муниципальных нужд</v>
      </c>
      <c r="B136" s="115">
        <v>801</v>
      </c>
      <c r="C136" s="8" t="s">
        <v>221</v>
      </c>
      <c r="D136" s="8" t="s">
        <v>198</v>
      </c>
      <c r="E136" s="115" t="s">
        <v>146</v>
      </c>
      <c r="F136" s="115">
        <v>200</v>
      </c>
      <c r="G136" s="70">
        <f t="shared" si="34"/>
        <v>72</v>
      </c>
      <c r="H136" s="70">
        <f t="shared" si="34"/>
        <v>0</v>
      </c>
      <c r="I136" s="70">
        <f t="shared" si="27"/>
        <v>72</v>
      </c>
      <c r="J136" s="70">
        <f t="shared" si="34"/>
        <v>0</v>
      </c>
      <c r="K136" s="87">
        <f t="shared" si="28"/>
        <v>72</v>
      </c>
      <c r="L136" s="13">
        <f t="shared" si="34"/>
        <v>-72</v>
      </c>
      <c r="M136" s="87">
        <f t="shared" si="25"/>
        <v>0</v>
      </c>
      <c r="N136" s="13">
        <f t="shared" si="34"/>
        <v>0</v>
      </c>
      <c r="O136" s="87">
        <f t="shared" si="26"/>
        <v>0</v>
      </c>
      <c r="P136" s="13">
        <f t="shared" si="34"/>
        <v>0</v>
      </c>
      <c r="Q136" s="87">
        <f t="shared" si="23"/>
        <v>0</v>
      </c>
      <c r="R136" s="13">
        <f t="shared" si="34"/>
        <v>0</v>
      </c>
      <c r="S136" s="87">
        <f t="shared" si="24"/>
        <v>0</v>
      </c>
    </row>
    <row r="137" spans="1:19" s="91" customFormat="1" ht="33" hidden="1">
      <c r="A137" s="62" t="str">
        <f ca="1">IF(ISERROR(MATCH(F137,Код_КВР,0)),"",INDIRECT(ADDRESS(MATCH(F137,Код_КВР,0)+1,2,,,"КВР")))</f>
        <v>Иные закупки товаров, работ и услуг для обеспечения муниципальных нужд</v>
      </c>
      <c r="B137" s="115">
        <v>801</v>
      </c>
      <c r="C137" s="8" t="s">
        <v>221</v>
      </c>
      <c r="D137" s="8" t="s">
        <v>198</v>
      </c>
      <c r="E137" s="115" t="s">
        <v>146</v>
      </c>
      <c r="F137" s="115">
        <v>240</v>
      </c>
      <c r="G137" s="70">
        <f t="shared" si="34"/>
        <v>72</v>
      </c>
      <c r="H137" s="70">
        <f t="shared" si="34"/>
        <v>0</v>
      </c>
      <c r="I137" s="70">
        <f t="shared" si="27"/>
        <v>72</v>
      </c>
      <c r="J137" s="70">
        <f t="shared" si="34"/>
        <v>0</v>
      </c>
      <c r="K137" s="87">
        <f t="shared" si="28"/>
        <v>72</v>
      </c>
      <c r="L137" s="13">
        <f t="shared" si="34"/>
        <v>-72</v>
      </c>
      <c r="M137" s="87">
        <f t="shared" si="25"/>
        <v>0</v>
      </c>
      <c r="N137" s="13">
        <f t="shared" si="34"/>
        <v>0</v>
      </c>
      <c r="O137" s="87">
        <f t="shared" si="26"/>
        <v>0</v>
      </c>
      <c r="P137" s="13">
        <f t="shared" si="34"/>
        <v>0</v>
      </c>
      <c r="Q137" s="87">
        <f t="shared" si="23"/>
        <v>0</v>
      </c>
      <c r="R137" s="13">
        <f t="shared" si="34"/>
        <v>0</v>
      </c>
      <c r="S137" s="87">
        <f t="shared" si="24"/>
        <v>0</v>
      </c>
    </row>
    <row r="138" spans="1:19" s="91" customFormat="1" ht="33" hidden="1">
      <c r="A138" s="62" t="str">
        <f ca="1">IF(ISERROR(MATCH(F138,Код_КВР,0)),"",INDIRECT(ADDRESS(MATCH(F138,Код_КВР,0)+1,2,,,"КВР")))</f>
        <v xml:space="preserve">Прочая закупка товаров, работ и услуг для обеспечения муниципальных нужд         </v>
      </c>
      <c r="B138" s="115">
        <v>801</v>
      </c>
      <c r="C138" s="8" t="s">
        <v>221</v>
      </c>
      <c r="D138" s="8" t="s">
        <v>198</v>
      </c>
      <c r="E138" s="115" t="s">
        <v>146</v>
      </c>
      <c r="F138" s="115">
        <v>244</v>
      </c>
      <c r="G138" s="70">
        <v>72</v>
      </c>
      <c r="H138" s="70"/>
      <c r="I138" s="70">
        <f t="shared" si="27"/>
        <v>72</v>
      </c>
      <c r="J138" s="70"/>
      <c r="K138" s="87">
        <f t="shared" si="28"/>
        <v>72</v>
      </c>
      <c r="L138" s="13">
        <v>-72</v>
      </c>
      <c r="M138" s="87">
        <f t="shared" si="25"/>
        <v>0</v>
      </c>
      <c r="N138" s="13"/>
      <c r="O138" s="87">
        <f t="shared" si="26"/>
        <v>0</v>
      </c>
      <c r="P138" s="13"/>
      <c r="Q138" s="87">
        <f t="shared" si="23"/>
        <v>0</v>
      </c>
      <c r="R138" s="13"/>
      <c r="S138" s="87">
        <f t="shared" si="24"/>
        <v>0</v>
      </c>
    </row>
    <row r="139" spans="1:19" s="91" customFormat="1" ht="33">
      <c r="A139" s="62" t="str">
        <f ca="1">IF(ISERROR(MATCH(E139,Код_КЦСР,0)),"",INDIRECT(ADDRESS(MATCH(E139,Код_КЦСР,0)+1,2,,,"КЦСР")))</f>
        <v>Проведение мероприятий по формированию благоприятного имиджа города</v>
      </c>
      <c r="B139" s="115">
        <v>801</v>
      </c>
      <c r="C139" s="8" t="s">
        <v>221</v>
      </c>
      <c r="D139" s="8" t="s">
        <v>198</v>
      </c>
      <c r="E139" s="115" t="s">
        <v>148</v>
      </c>
      <c r="F139" s="115"/>
      <c r="G139" s="70">
        <f aca="true" t="shared" si="35" ref="G139:R141">G140</f>
        <v>411.5</v>
      </c>
      <c r="H139" s="70">
        <f t="shared" si="35"/>
        <v>0</v>
      </c>
      <c r="I139" s="70">
        <f t="shared" si="27"/>
        <v>411.5</v>
      </c>
      <c r="J139" s="70">
        <f t="shared" si="35"/>
        <v>0</v>
      </c>
      <c r="K139" s="87">
        <f t="shared" si="28"/>
        <v>411.5</v>
      </c>
      <c r="L139" s="13">
        <f t="shared" si="35"/>
        <v>0</v>
      </c>
      <c r="M139" s="87">
        <f t="shared" si="25"/>
        <v>411.5</v>
      </c>
      <c r="N139" s="13">
        <f t="shared" si="35"/>
        <v>0</v>
      </c>
      <c r="O139" s="87">
        <f t="shared" si="26"/>
        <v>411.5</v>
      </c>
      <c r="P139" s="13">
        <f t="shared" si="35"/>
        <v>0</v>
      </c>
      <c r="Q139" s="87">
        <f t="shared" si="23"/>
        <v>411.5</v>
      </c>
      <c r="R139" s="13">
        <f t="shared" si="35"/>
        <v>59.5</v>
      </c>
      <c r="S139" s="87">
        <f t="shared" si="24"/>
        <v>471</v>
      </c>
    </row>
    <row r="140" spans="1:19" s="91" customFormat="1" ht="12.75">
      <c r="A140" s="62" t="str">
        <f ca="1">IF(ISERROR(MATCH(F140,Код_КВР,0)),"",INDIRECT(ADDRESS(MATCH(F140,Код_КВР,0)+1,2,,,"КВР")))</f>
        <v>Закупка товаров, работ и услуг для муниципальных нужд</v>
      </c>
      <c r="B140" s="115">
        <v>801</v>
      </c>
      <c r="C140" s="8" t="s">
        <v>221</v>
      </c>
      <c r="D140" s="8" t="s">
        <v>198</v>
      </c>
      <c r="E140" s="115" t="s">
        <v>148</v>
      </c>
      <c r="F140" s="115">
        <v>200</v>
      </c>
      <c r="G140" s="70">
        <f t="shared" si="35"/>
        <v>411.5</v>
      </c>
      <c r="H140" s="70">
        <f t="shared" si="35"/>
        <v>0</v>
      </c>
      <c r="I140" s="70">
        <f t="shared" si="27"/>
        <v>411.5</v>
      </c>
      <c r="J140" s="70">
        <f t="shared" si="35"/>
        <v>0</v>
      </c>
      <c r="K140" s="87">
        <f t="shared" si="28"/>
        <v>411.5</v>
      </c>
      <c r="L140" s="13">
        <f t="shared" si="35"/>
        <v>0</v>
      </c>
      <c r="M140" s="87">
        <f t="shared" si="25"/>
        <v>411.5</v>
      </c>
      <c r="N140" s="13">
        <f t="shared" si="35"/>
        <v>0</v>
      </c>
      <c r="O140" s="87">
        <f t="shared" si="26"/>
        <v>411.5</v>
      </c>
      <c r="P140" s="13">
        <f t="shared" si="35"/>
        <v>0</v>
      </c>
      <c r="Q140" s="87">
        <f t="shared" si="23"/>
        <v>411.5</v>
      </c>
      <c r="R140" s="13">
        <f t="shared" si="35"/>
        <v>59.5</v>
      </c>
      <c r="S140" s="87">
        <f t="shared" si="24"/>
        <v>471</v>
      </c>
    </row>
    <row r="141" spans="1:19" s="91" customFormat="1" ht="33">
      <c r="A141" s="62" t="str">
        <f ca="1">IF(ISERROR(MATCH(F141,Код_КВР,0)),"",INDIRECT(ADDRESS(MATCH(F141,Код_КВР,0)+1,2,,,"КВР")))</f>
        <v>Иные закупки товаров, работ и услуг для обеспечения муниципальных нужд</v>
      </c>
      <c r="B141" s="115">
        <v>801</v>
      </c>
      <c r="C141" s="8" t="s">
        <v>221</v>
      </c>
      <c r="D141" s="8" t="s">
        <v>198</v>
      </c>
      <c r="E141" s="115" t="s">
        <v>148</v>
      </c>
      <c r="F141" s="115">
        <v>240</v>
      </c>
      <c r="G141" s="70">
        <f t="shared" si="35"/>
        <v>411.5</v>
      </c>
      <c r="H141" s="70">
        <f t="shared" si="35"/>
        <v>0</v>
      </c>
      <c r="I141" s="70">
        <f t="shared" si="27"/>
        <v>411.5</v>
      </c>
      <c r="J141" s="70">
        <f t="shared" si="35"/>
        <v>0</v>
      </c>
      <c r="K141" s="87">
        <f t="shared" si="28"/>
        <v>411.5</v>
      </c>
      <c r="L141" s="13">
        <f t="shared" si="35"/>
        <v>0</v>
      </c>
      <c r="M141" s="87">
        <f t="shared" si="25"/>
        <v>411.5</v>
      </c>
      <c r="N141" s="13">
        <f t="shared" si="35"/>
        <v>0</v>
      </c>
      <c r="O141" s="87">
        <f t="shared" si="26"/>
        <v>411.5</v>
      </c>
      <c r="P141" s="13">
        <f t="shared" si="35"/>
        <v>0</v>
      </c>
      <c r="Q141" s="87">
        <f t="shared" si="23"/>
        <v>411.5</v>
      </c>
      <c r="R141" s="13">
        <f t="shared" si="35"/>
        <v>59.5</v>
      </c>
      <c r="S141" s="87">
        <f t="shared" si="24"/>
        <v>471</v>
      </c>
    </row>
    <row r="142" spans="1:19" s="91" customFormat="1" ht="33">
      <c r="A142" s="62" t="str">
        <f ca="1">IF(ISERROR(MATCH(F142,Код_КВР,0)),"",INDIRECT(ADDRESS(MATCH(F142,Код_КВР,0)+1,2,,,"КВР")))</f>
        <v xml:space="preserve">Прочая закупка товаров, работ и услуг для обеспечения муниципальных нужд         </v>
      </c>
      <c r="B142" s="115">
        <v>801</v>
      </c>
      <c r="C142" s="8" t="s">
        <v>221</v>
      </c>
      <c r="D142" s="8" t="s">
        <v>198</v>
      </c>
      <c r="E142" s="115" t="s">
        <v>148</v>
      </c>
      <c r="F142" s="115">
        <v>244</v>
      </c>
      <c r="G142" s="70">
        <v>411.5</v>
      </c>
      <c r="H142" s="70"/>
      <c r="I142" s="70">
        <f t="shared" si="27"/>
        <v>411.5</v>
      </c>
      <c r="J142" s="70"/>
      <c r="K142" s="87">
        <f t="shared" si="28"/>
        <v>411.5</v>
      </c>
      <c r="L142" s="13"/>
      <c r="M142" s="87">
        <f t="shared" si="25"/>
        <v>411.5</v>
      </c>
      <c r="N142" s="13"/>
      <c r="O142" s="87">
        <f t="shared" si="26"/>
        <v>411.5</v>
      </c>
      <c r="P142" s="13"/>
      <c r="Q142" s="87">
        <f t="shared" si="23"/>
        <v>411.5</v>
      </c>
      <c r="R142" s="13">
        <f>11.5+48</f>
        <v>59.5</v>
      </c>
      <c r="S142" s="87">
        <f t="shared" si="24"/>
        <v>471</v>
      </c>
    </row>
    <row r="143" spans="1:19" s="91" customFormat="1" ht="12.75">
      <c r="A143" s="62" t="str">
        <f ca="1">IF(ISERROR(MATCH(E143,Код_КЦСР,0)),"",INDIRECT(ADDRESS(MATCH(E143,Код_КЦСР,0)+1,2,,,"КЦСР")))</f>
        <v>Формирование презентационных пакетов, включая папки и открытки</v>
      </c>
      <c r="B143" s="115">
        <v>801</v>
      </c>
      <c r="C143" s="8" t="s">
        <v>221</v>
      </c>
      <c r="D143" s="8" t="s">
        <v>198</v>
      </c>
      <c r="E143" s="115" t="s">
        <v>150</v>
      </c>
      <c r="F143" s="115"/>
      <c r="G143" s="70">
        <f aca="true" t="shared" si="36" ref="G143:R145">G144</f>
        <v>720</v>
      </c>
      <c r="H143" s="70">
        <f t="shared" si="36"/>
        <v>0</v>
      </c>
      <c r="I143" s="70">
        <f t="shared" si="27"/>
        <v>720</v>
      </c>
      <c r="J143" s="70">
        <f t="shared" si="36"/>
        <v>0</v>
      </c>
      <c r="K143" s="87">
        <f t="shared" si="28"/>
        <v>720</v>
      </c>
      <c r="L143" s="13">
        <f t="shared" si="36"/>
        <v>0</v>
      </c>
      <c r="M143" s="87">
        <f t="shared" si="25"/>
        <v>720</v>
      </c>
      <c r="N143" s="13">
        <f t="shared" si="36"/>
        <v>205.6</v>
      </c>
      <c r="O143" s="87">
        <f t="shared" si="26"/>
        <v>925.6</v>
      </c>
      <c r="P143" s="13">
        <f t="shared" si="36"/>
        <v>0</v>
      </c>
      <c r="Q143" s="87">
        <f t="shared" si="23"/>
        <v>925.6</v>
      </c>
      <c r="R143" s="13">
        <f t="shared" si="36"/>
        <v>115.2</v>
      </c>
      <c r="S143" s="87">
        <f t="shared" si="24"/>
        <v>1040.8</v>
      </c>
    </row>
    <row r="144" spans="1:19" s="91" customFormat="1" ht="12.75">
      <c r="A144" s="62" t="str">
        <f ca="1">IF(ISERROR(MATCH(F144,Код_КВР,0)),"",INDIRECT(ADDRESS(MATCH(F144,Код_КВР,0)+1,2,,,"КВР")))</f>
        <v>Закупка товаров, работ и услуг для муниципальных нужд</v>
      </c>
      <c r="B144" s="115">
        <v>801</v>
      </c>
      <c r="C144" s="8" t="s">
        <v>221</v>
      </c>
      <c r="D144" s="8" t="s">
        <v>198</v>
      </c>
      <c r="E144" s="115" t="s">
        <v>150</v>
      </c>
      <c r="F144" s="115">
        <v>200</v>
      </c>
      <c r="G144" s="70">
        <f t="shared" si="36"/>
        <v>720</v>
      </c>
      <c r="H144" s="70">
        <f t="shared" si="36"/>
        <v>0</v>
      </c>
      <c r="I144" s="70">
        <f t="shared" si="27"/>
        <v>720</v>
      </c>
      <c r="J144" s="70">
        <f t="shared" si="36"/>
        <v>0</v>
      </c>
      <c r="K144" s="87">
        <f t="shared" si="28"/>
        <v>720</v>
      </c>
      <c r="L144" s="13">
        <f t="shared" si="36"/>
        <v>0</v>
      </c>
      <c r="M144" s="87">
        <f t="shared" si="25"/>
        <v>720</v>
      </c>
      <c r="N144" s="13">
        <f t="shared" si="36"/>
        <v>205.6</v>
      </c>
      <c r="O144" s="87">
        <f t="shared" si="26"/>
        <v>925.6</v>
      </c>
      <c r="P144" s="13">
        <f t="shared" si="36"/>
        <v>0</v>
      </c>
      <c r="Q144" s="87">
        <f t="shared" si="23"/>
        <v>925.6</v>
      </c>
      <c r="R144" s="13">
        <f t="shared" si="36"/>
        <v>115.2</v>
      </c>
      <c r="S144" s="87">
        <f t="shared" si="24"/>
        <v>1040.8</v>
      </c>
    </row>
    <row r="145" spans="1:19" s="91" customFormat="1" ht="33">
      <c r="A145" s="62" t="str">
        <f ca="1">IF(ISERROR(MATCH(F145,Код_КВР,0)),"",INDIRECT(ADDRESS(MATCH(F145,Код_КВР,0)+1,2,,,"КВР")))</f>
        <v>Иные закупки товаров, работ и услуг для обеспечения муниципальных нужд</v>
      </c>
      <c r="B145" s="115">
        <v>801</v>
      </c>
      <c r="C145" s="8" t="s">
        <v>221</v>
      </c>
      <c r="D145" s="8" t="s">
        <v>198</v>
      </c>
      <c r="E145" s="115" t="s">
        <v>150</v>
      </c>
      <c r="F145" s="115">
        <v>240</v>
      </c>
      <c r="G145" s="70">
        <f t="shared" si="36"/>
        <v>720</v>
      </c>
      <c r="H145" s="70">
        <f t="shared" si="36"/>
        <v>0</v>
      </c>
      <c r="I145" s="70">
        <f t="shared" si="27"/>
        <v>720</v>
      </c>
      <c r="J145" s="70">
        <f t="shared" si="36"/>
        <v>0</v>
      </c>
      <c r="K145" s="87">
        <f t="shared" si="28"/>
        <v>720</v>
      </c>
      <c r="L145" s="13">
        <f t="shared" si="36"/>
        <v>0</v>
      </c>
      <c r="M145" s="87">
        <f t="shared" si="25"/>
        <v>720</v>
      </c>
      <c r="N145" s="13">
        <f t="shared" si="36"/>
        <v>205.6</v>
      </c>
      <c r="O145" s="87">
        <f t="shared" si="26"/>
        <v>925.6</v>
      </c>
      <c r="P145" s="13">
        <f t="shared" si="36"/>
        <v>0</v>
      </c>
      <c r="Q145" s="87">
        <f t="shared" si="23"/>
        <v>925.6</v>
      </c>
      <c r="R145" s="13">
        <f t="shared" si="36"/>
        <v>115.2</v>
      </c>
      <c r="S145" s="87">
        <f t="shared" si="24"/>
        <v>1040.8</v>
      </c>
    </row>
    <row r="146" spans="1:19" s="91" customFormat="1" ht="33">
      <c r="A146" s="62" t="str">
        <f ca="1">IF(ISERROR(MATCH(F146,Код_КВР,0)),"",INDIRECT(ADDRESS(MATCH(F146,Код_КВР,0)+1,2,,,"КВР")))</f>
        <v xml:space="preserve">Прочая закупка товаров, работ и услуг для обеспечения муниципальных нужд         </v>
      </c>
      <c r="B146" s="115">
        <v>801</v>
      </c>
      <c r="C146" s="8" t="s">
        <v>221</v>
      </c>
      <c r="D146" s="8" t="s">
        <v>198</v>
      </c>
      <c r="E146" s="115" t="s">
        <v>150</v>
      </c>
      <c r="F146" s="115">
        <v>244</v>
      </c>
      <c r="G146" s="70">
        <v>720</v>
      </c>
      <c r="H146" s="70"/>
      <c r="I146" s="70">
        <f t="shared" si="27"/>
        <v>720</v>
      </c>
      <c r="J146" s="70"/>
      <c r="K146" s="87">
        <f t="shared" si="28"/>
        <v>720</v>
      </c>
      <c r="L146" s="13"/>
      <c r="M146" s="87">
        <f t="shared" si="25"/>
        <v>720</v>
      </c>
      <c r="N146" s="13">
        <v>205.6</v>
      </c>
      <c r="O146" s="87">
        <f t="shared" si="26"/>
        <v>925.6</v>
      </c>
      <c r="P146" s="13"/>
      <c r="Q146" s="87">
        <f t="shared" si="23"/>
        <v>925.6</v>
      </c>
      <c r="R146" s="13">
        <v>115.2</v>
      </c>
      <c r="S146" s="87">
        <f t="shared" si="24"/>
        <v>1040.8</v>
      </c>
    </row>
    <row r="147" spans="1:19" s="91" customFormat="1" ht="12.75">
      <c r="A147" s="62" t="str">
        <f ca="1">IF(ISERROR(MATCH(E147,Код_КЦСР,0)),"",INDIRECT(ADDRESS(MATCH(E147,Код_КЦСР,0)+1,2,,,"КЦСР")))</f>
        <v>Оплата членских взносов в союзы и ассоциации</v>
      </c>
      <c r="B147" s="115">
        <v>801</v>
      </c>
      <c r="C147" s="8" t="s">
        <v>221</v>
      </c>
      <c r="D147" s="8" t="s">
        <v>198</v>
      </c>
      <c r="E147" s="115" t="s">
        <v>152</v>
      </c>
      <c r="F147" s="115"/>
      <c r="G147" s="70">
        <f aca="true" t="shared" si="37" ref="G147:R149">G148</f>
        <v>479.7</v>
      </c>
      <c r="H147" s="70">
        <f t="shared" si="37"/>
        <v>0</v>
      </c>
      <c r="I147" s="70">
        <f t="shared" si="27"/>
        <v>479.7</v>
      </c>
      <c r="J147" s="70">
        <f t="shared" si="37"/>
        <v>0</v>
      </c>
      <c r="K147" s="87">
        <f t="shared" si="28"/>
        <v>479.7</v>
      </c>
      <c r="L147" s="13">
        <f t="shared" si="37"/>
        <v>0</v>
      </c>
      <c r="M147" s="87">
        <f t="shared" si="25"/>
        <v>479.7</v>
      </c>
      <c r="N147" s="13">
        <f t="shared" si="37"/>
        <v>0</v>
      </c>
      <c r="O147" s="87">
        <f t="shared" si="26"/>
        <v>479.7</v>
      </c>
      <c r="P147" s="13">
        <f t="shared" si="37"/>
        <v>0</v>
      </c>
      <c r="Q147" s="87">
        <f t="shared" si="23"/>
        <v>479.7</v>
      </c>
      <c r="R147" s="13">
        <f t="shared" si="37"/>
        <v>14.2</v>
      </c>
      <c r="S147" s="87">
        <f t="shared" si="24"/>
        <v>493.9</v>
      </c>
    </row>
    <row r="148" spans="1:19" s="91" customFormat="1" ht="12.75">
      <c r="A148" s="62" t="str">
        <f ca="1">IF(ISERROR(MATCH(F148,Код_КВР,0)),"",INDIRECT(ADDRESS(MATCH(F148,Код_КВР,0)+1,2,,,"КВР")))</f>
        <v>Иные бюджетные ассигнования</v>
      </c>
      <c r="B148" s="115">
        <v>801</v>
      </c>
      <c r="C148" s="8" t="s">
        <v>221</v>
      </c>
      <c r="D148" s="8" t="s">
        <v>198</v>
      </c>
      <c r="E148" s="115" t="s">
        <v>152</v>
      </c>
      <c r="F148" s="115">
        <v>800</v>
      </c>
      <c r="G148" s="70">
        <f t="shared" si="37"/>
        <v>479.7</v>
      </c>
      <c r="H148" s="70">
        <f t="shared" si="37"/>
        <v>0</v>
      </c>
      <c r="I148" s="70">
        <f t="shared" si="27"/>
        <v>479.7</v>
      </c>
      <c r="J148" s="70">
        <f t="shared" si="37"/>
        <v>0</v>
      </c>
      <c r="K148" s="87">
        <f t="shared" si="28"/>
        <v>479.7</v>
      </c>
      <c r="L148" s="13">
        <f t="shared" si="37"/>
        <v>0</v>
      </c>
      <c r="M148" s="87">
        <f t="shared" si="25"/>
        <v>479.7</v>
      </c>
      <c r="N148" s="13">
        <f t="shared" si="37"/>
        <v>0</v>
      </c>
      <c r="O148" s="87">
        <f t="shared" si="26"/>
        <v>479.7</v>
      </c>
      <c r="P148" s="13">
        <f t="shared" si="37"/>
        <v>0</v>
      </c>
      <c r="Q148" s="87">
        <f t="shared" si="23"/>
        <v>479.7</v>
      </c>
      <c r="R148" s="13">
        <f t="shared" si="37"/>
        <v>14.2</v>
      </c>
      <c r="S148" s="87">
        <f t="shared" si="24"/>
        <v>493.9</v>
      </c>
    </row>
    <row r="149" spans="1:19" s="91" customFormat="1" ht="12.75">
      <c r="A149" s="62" t="str">
        <f ca="1">IF(ISERROR(MATCH(F149,Код_КВР,0)),"",INDIRECT(ADDRESS(MATCH(F149,Код_КВР,0)+1,2,,,"КВР")))</f>
        <v>Уплата налогов, сборов и иных платежей</v>
      </c>
      <c r="B149" s="115">
        <v>801</v>
      </c>
      <c r="C149" s="8" t="s">
        <v>221</v>
      </c>
      <c r="D149" s="8" t="s">
        <v>198</v>
      </c>
      <c r="E149" s="115" t="s">
        <v>152</v>
      </c>
      <c r="F149" s="115">
        <v>850</v>
      </c>
      <c r="G149" s="70">
        <f t="shared" si="37"/>
        <v>479.7</v>
      </c>
      <c r="H149" s="70">
        <f t="shared" si="37"/>
        <v>0</v>
      </c>
      <c r="I149" s="70">
        <f t="shared" si="27"/>
        <v>479.7</v>
      </c>
      <c r="J149" s="70">
        <f t="shared" si="37"/>
        <v>0</v>
      </c>
      <c r="K149" s="87">
        <f t="shared" si="28"/>
        <v>479.7</v>
      </c>
      <c r="L149" s="13">
        <f t="shared" si="37"/>
        <v>0</v>
      </c>
      <c r="M149" s="87">
        <f t="shared" si="25"/>
        <v>479.7</v>
      </c>
      <c r="N149" s="13">
        <f t="shared" si="37"/>
        <v>0</v>
      </c>
      <c r="O149" s="87">
        <f t="shared" si="26"/>
        <v>479.7</v>
      </c>
      <c r="P149" s="13">
        <f t="shared" si="37"/>
        <v>0</v>
      </c>
      <c r="Q149" s="87">
        <f t="shared" si="23"/>
        <v>479.7</v>
      </c>
      <c r="R149" s="13">
        <f t="shared" si="37"/>
        <v>14.2</v>
      </c>
      <c r="S149" s="87">
        <f t="shared" si="24"/>
        <v>493.9</v>
      </c>
    </row>
    <row r="150" spans="1:19" s="91" customFormat="1" ht="12.75">
      <c r="A150" s="62" t="str">
        <f ca="1">IF(ISERROR(MATCH(F150,Код_КВР,0)),"",INDIRECT(ADDRESS(MATCH(F150,Код_КВР,0)+1,2,,,"КВР")))</f>
        <v>Уплата прочих налогов, сборов и иных платежей</v>
      </c>
      <c r="B150" s="115">
        <v>801</v>
      </c>
      <c r="C150" s="8" t="s">
        <v>221</v>
      </c>
      <c r="D150" s="8" t="s">
        <v>198</v>
      </c>
      <c r="E150" s="115" t="s">
        <v>152</v>
      </c>
      <c r="F150" s="115">
        <v>852</v>
      </c>
      <c r="G150" s="70">
        <v>479.7</v>
      </c>
      <c r="H150" s="70"/>
      <c r="I150" s="70">
        <f t="shared" si="27"/>
        <v>479.7</v>
      </c>
      <c r="J150" s="70"/>
      <c r="K150" s="87">
        <f t="shared" si="28"/>
        <v>479.7</v>
      </c>
      <c r="L150" s="13"/>
      <c r="M150" s="87">
        <f t="shared" si="25"/>
        <v>479.7</v>
      </c>
      <c r="N150" s="13"/>
      <c r="O150" s="87">
        <f t="shared" si="26"/>
        <v>479.7</v>
      </c>
      <c r="P150" s="13"/>
      <c r="Q150" s="87">
        <f t="shared" si="23"/>
        <v>479.7</v>
      </c>
      <c r="R150" s="13">
        <v>14.2</v>
      </c>
      <c r="S150" s="87">
        <f t="shared" si="24"/>
        <v>493.9</v>
      </c>
    </row>
    <row r="151" spans="1:19" s="91" customFormat="1" ht="33">
      <c r="A151" s="62" t="str">
        <f ca="1">IF(ISERROR(MATCH(E151,Код_КЦСР,0)),"",INDIRECT(ADDRESS(MATCH(E151,Код_КЦСР,0)+1,2,,,"КЦСР")))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51" s="115">
        <v>801</v>
      </c>
      <c r="C151" s="8" t="s">
        <v>221</v>
      </c>
      <c r="D151" s="8" t="s">
        <v>198</v>
      </c>
      <c r="E151" s="115" t="s">
        <v>158</v>
      </c>
      <c r="F151" s="115"/>
      <c r="G151" s="70">
        <f aca="true" t="shared" si="38" ref="G151:R155">G152</f>
        <v>20</v>
      </c>
      <c r="H151" s="70">
        <f t="shared" si="38"/>
        <v>0</v>
      </c>
      <c r="I151" s="70">
        <f t="shared" si="27"/>
        <v>20</v>
      </c>
      <c r="J151" s="70">
        <f t="shared" si="38"/>
        <v>0</v>
      </c>
      <c r="K151" s="87">
        <f t="shared" si="28"/>
        <v>20</v>
      </c>
      <c r="L151" s="13">
        <f t="shared" si="38"/>
        <v>0</v>
      </c>
      <c r="M151" s="87">
        <f t="shared" si="25"/>
        <v>20</v>
      </c>
      <c r="N151" s="13">
        <f t="shared" si="38"/>
        <v>0</v>
      </c>
      <c r="O151" s="87">
        <f t="shared" si="26"/>
        <v>20</v>
      </c>
      <c r="P151" s="13">
        <f t="shared" si="38"/>
        <v>0</v>
      </c>
      <c r="Q151" s="87">
        <f t="shared" si="23"/>
        <v>20</v>
      </c>
      <c r="R151" s="13">
        <f t="shared" si="38"/>
        <v>0</v>
      </c>
      <c r="S151" s="87">
        <f t="shared" si="24"/>
        <v>20</v>
      </c>
    </row>
    <row r="152" spans="1:19" s="91" customFormat="1" ht="22.5" customHeight="1">
      <c r="A152" s="62" t="str">
        <f ca="1">IF(ISERROR(MATCH(E152,Код_КЦСР,0)),"",INDIRECT(ADDRESS(MATCH(E152,Код_КЦСР,0)+1,2,,,"КЦСР")))</f>
        <v>Профилактика преступлений и иных правонарушений в городе Череповце</v>
      </c>
      <c r="B152" s="115">
        <v>801</v>
      </c>
      <c r="C152" s="8" t="s">
        <v>221</v>
      </c>
      <c r="D152" s="8" t="s">
        <v>198</v>
      </c>
      <c r="E152" s="115" t="s">
        <v>160</v>
      </c>
      <c r="F152" s="115"/>
      <c r="G152" s="70">
        <f t="shared" si="38"/>
        <v>20</v>
      </c>
      <c r="H152" s="70">
        <f t="shared" si="38"/>
        <v>0</v>
      </c>
      <c r="I152" s="70">
        <f t="shared" si="27"/>
        <v>20</v>
      </c>
      <c r="J152" s="70">
        <f t="shared" si="38"/>
        <v>0</v>
      </c>
      <c r="K152" s="87">
        <f t="shared" si="28"/>
        <v>20</v>
      </c>
      <c r="L152" s="13">
        <f t="shared" si="38"/>
        <v>0</v>
      </c>
      <c r="M152" s="87">
        <f t="shared" si="25"/>
        <v>20</v>
      </c>
      <c r="N152" s="13">
        <f t="shared" si="38"/>
        <v>0</v>
      </c>
      <c r="O152" s="87">
        <f t="shared" si="26"/>
        <v>20</v>
      </c>
      <c r="P152" s="13">
        <f t="shared" si="38"/>
        <v>0</v>
      </c>
      <c r="Q152" s="87">
        <f t="shared" si="23"/>
        <v>20</v>
      </c>
      <c r="R152" s="13">
        <f t="shared" si="38"/>
        <v>0</v>
      </c>
      <c r="S152" s="87">
        <f t="shared" si="24"/>
        <v>20</v>
      </c>
    </row>
    <row r="153" spans="1:19" s="91" customFormat="1" ht="12.75">
      <c r="A153" s="62" t="str">
        <f ca="1">IF(ISERROR(MATCH(E153,Код_КЦСР,0)),"",INDIRECT(ADDRESS(MATCH(E153,Код_КЦСР,0)+1,2,,,"КЦСР")))</f>
        <v>Привлечение общественности к охране общественного порядка</v>
      </c>
      <c r="B153" s="115">
        <v>801</v>
      </c>
      <c r="C153" s="8" t="s">
        <v>221</v>
      </c>
      <c r="D153" s="8" t="s">
        <v>198</v>
      </c>
      <c r="E153" s="115" t="s">
        <v>162</v>
      </c>
      <c r="F153" s="115"/>
      <c r="G153" s="70">
        <f t="shared" si="38"/>
        <v>20</v>
      </c>
      <c r="H153" s="70">
        <f t="shared" si="38"/>
        <v>0</v>
      </c>
      <c r="I153" s="70">
        <f t="shared" si="27"/>
        <v>20</v>
      </c>
      <c r="J153" s="70">
        <f t="shared" si="38"/>
        <v>0</v>
      </c>
      <c r="K153" s="87">
        <f t="shared" si="28"/>
        <v>20</v>
      </c>
      <c r="L153" s="13">
        <f t="shared" si="38"/>
        <v>0</v>
      </c>
      <c r="M153" s="87">
        <f t="shared" si="25"/>
        <v>20</v>
      </c>
      <c r="N153" s="13">
        <f t="shared" si="38"/>
        <v>0</v>
      </c>
      <c r="O153" s="87">
        <f t="shared" si="26"/>
        <v>20</v>
      </c>
      <c r="P153" s="13">
        <f t="shared" si="38"/>
        <v>0</v>
      </c>
      <c r="Q153" s="87">
        <f aca="true" t="shared" si="39" ref="Q153:Q216">O153+P153</f>
        <v>20</v>
      </c>
      <c r="R153" s="13">
        <f t="shared" si="38"/>
        <v>0</v>
      </c>
      <c r="S153" s="87">
        <f aca="true" t="shared" si="40" ref="S153:S216">Q153+R153</f>
        <v>20</v>
      </c>
    </row>
    <row r="154" spans="1:19" s="91" customFormat="1" ht="12.75">
      <c r="A154" s="62" t="str">
        <f ca="1">IF(ISERROR(MATCH(F154,Код_КВР,0)),"",INDIRECT(ADDRESS(MATCH(F154,Код_КВР,0)+1,2,,,"КВР")))</f>
        <v>Закупка товаров, работ и услуг для муниципальных нужд</v>
      </c>
      <c r="B154" s="115">
        <v>801</v>
      </c>
      <c r="C154" s="8" t="s">
        <v>221</v>
      </c>
      <c r="D154" s="8" t="s">
        <v>198</v>
      </c>
      <c r="E154" s="115" t="s">
        <v>162</v>
      </c>
      <c r="F154" s="115">
        <v>200</v>
      </c>
      <c r="G154" s="70">
        <f t="shared" si="38"/>
        <v>20</v>
      </c>
      <c r="H154" s="70">
        <f t="shared" si="38"/>
        <v>0</v>
      </c>
      <c r="I154" s="70">
        <f t="shared" si="27"/>
        <v>20</v>
      </c>
      <c r="J154" s="70">
        <f t="shared" si="38"/>
        <v>0</v>
      </c>
      <c r="K154" s="87">
        <f t="shared" si="28"/>
        <v>20</v>
      </c>
      <c r="L154" s="13">
        <f t="shared" si="38"/>
        <v>0</v>
      </c>
      <c r="M154" s="87">
        <f t="shared" si="25"/>
        <v>20</v>
      </c>
      <c r="N154" s="13">
        <f t="shared" si="38"/>
        <v>0</v>
      </c>
      <c r="O154" s="87">
        <f t="shared" si="26"/>
        <v>20</v>
      </c>
      <c r="P154" s="13">
        <f t="shared" si="38"/>
        <v>0</v>
      </c>
      <c r="Q154" s="87">
        <f t="shared" si="39"/>
        <v>20</v>
      </c>
      <c r="R154" s="13">
        <f t="shared" si="38"/>
        <v>0</v>
      </c>
      <c r="S154" s="87">
        <f t="shared" si="40"/>
        <v>20</v>
      </c>
    </row>
    <row r="155" spans="1:19" s="91" customFormat="1" ht="33">
      <c r="A155" s="62" t="str">
        <f ca="1">IF(ISERROR(MATCH(F155,Код_КВР,0)),"",INDIRECT(ADDRESS(MATCH(F155,Код_КВР,0)+1,2,,,"КВР")))</f>
        <v>Иные закупки товаров, работ и услуг для обеспечения муниципальных нужд</v>
      </c>
      <c r="B155" s="115">
        <v>801</v>
      </c>
      <c r="C155" s="8" t="s">
        <v>221</v>
      </c>
      <c r="D155" s="8" t="s">
        <v>198</v>
      </c>
      <c r="E155" s="115" t="s">
        <v>162</v>
      </c>
      <c r="F155" s="115">
        <v>240</v>
      </c>
      <c r="G155" s="70">
        <f t="shared" si="38"/>
        <v>20</v>
      </c>
      <c r="H155" s="70">
        <f t="shared" si="38"/>
        <v>0</v>
      </c>
      <c r="I155" s="70">
        <f t="shared" si="27"/>
        <v>20</v>
      </c>
      <c r="J155" s="70">
        <f t="shared" si="38"/>
        <v>0</v>
      </c>
      <c r="K155" s="87">
        <f t="shared" si="28"/>
        <v>20</v>
      </c>
      <c r="L155" s="13">
        <f t="shared" si="38"/>
        <v>0</v>
      </c>
      <c r="M155" s="87">
        <f aca="true" t="shared" si="41" ref="M155:M222">K155+L155</f>
        <v>20</v>
      </c>
      <c r="N155" s="13">
        <f t="shared" si="38"/>
        <v>0</v>
      </c>
      <c r="O155" s="87">
        <f aca="true" t="shared" si="42" ref="O155:O222">M155+N155</f>
        <v>20</v>
      </c>
      <c r="P155" s="13">
        <f t="shared" si="38"/>
        <v>0</v>
      </c>
      <c r="Q155" s="87">
        <f t="shared" si="39"/>
        <v>20</v>
      </c>
      <c r="R155" s="13">
        <f t="shared" si="38"/>
        <v>0</v>
      </c>
      <c r="S155" s="87">
        <f t="shared" si="40"/>
        <v>20</v>
      </c>
    </row>
    <row r="156" spans="1:19" s="91" customFormat="1" ht="33">
      <c r="A156" s="62" t="str">
        <f ca="1">IF(ISERROR(MATCH(F156,Код_КВР,0)),"",INDIRECT(ADDRESS(MATCH(F156,Код_КВР,0)+1,2,,,"КВР")))</f>
        <v xml:space="preserve">Прочая закупка товаров, работ и услуг для обеспечения муниципальных нужд         </v>
      </c>
      <c r="B156" s="115">
        <v>801</v>
      </c>
      <c r="C156" s="8" t="s">
        <v>221</v>
      </c>
      <c r="D156" s="8" t="s">
        <v>198</v>
      </c>
      <c r="E156" s="115" t="s">
        <v>162</v>
      </c>
      <c r="F156" s="115">
        <v>244</v>
      </c>
      <c r="G156" s="70">
        <v>20</v>
      </c>
      <c r="H156" s="70"/>
      <c r="I156" s="70">
        <f t="shared" si="27"/>
        <v>20</v>
      </c>
      <c r="J156" s="70"/>
      <c r="K156" s="87">
        <f t="shared" si="28"/>
        <v>20</v>
      </c>
      <c r="L156" s="13"/>
      <c r="M156" s="87">
        <f t="shared" si="41"/>
        <v>20</v>
      </c>
      <c r="N156" s="13"/>
      <c r="O156" s="87">
        <f t="shared" si="42"/>
        <v>20</v>
      </c>
      <c r="P156" s="13"/>
      <c r="Q156" s="87">
        <f t="shared" si="39"/>
        <v>20</v>
      </c>
      <c r="R156" s="13"/>
      <c r="S156" s="87">
        <f t="shared" si="40"/>
        <v>20</v>
      </c>
    </row>
    <row r="157" spans="1:19" s="91" customFormat="1" ht="33">
      <c r="A157" s="62" t="str">
        <f ca="1">IF(ISERROR(MATCH(E157,Код_КЦСР,0)),"",INDIRECT(ADDRESS(MATCH(E157,Код_КЦСР,0)+1,2,,,"КЦСР")))</f>
        <v>Непрограммные направления деятельности органов местного самоуправления</v>
      </c>
      <c r="B157" s="115">
        <v>801</v>
      </c>
      <c r="C157" s="8" t="s">
        <v>221</v>
      </c>
      <c r="D157" s="8" t="s">
        <v>198</v>
      </c>
      <c r="E157" s="115" t="s">
        <v>307</v>
      </c>
      <c r="F157" s="115"/>
      <c r="G157" s="70">
        <f aca="true" t="shared" si="43" ref="G157:R162">G158</f>
        <v>100</v>
      </c>
      <c r="H157" s="70">
        <f t="shared" si="43"/>
        <v>0</v>
      </c>
      <c r="I157" s="70">
        <f t="shared" si="27"/>
        <v>100</v>
      </c>
      <c r="J157" s="70">
        <f t="shared" si="43"/>
        <v>0</v>
      </c>
      <c r="K157" s="87">
        <f t="shared" si="28"/>
        <v>100</v>
      </c>
      <c r="L157" s="13">
        <f t="shared" si="43"/>
        <v>-50</v>
      </c>
      <c r="M157" s="87">
        <f t="shared" si="41"/>
        <v>50</v>
      </c>
      <c r="N157" s="13">
        <f t="shared" si="43"/>
        <v>0.5</v>
      </c>
      <c r="O157" s="87">
        <f t="shared" si="42"/>
        <v>50.5</v>
      </c>
      <c r="P157" s="13">
        <f t="shared" si="43"/>
        <v>0</v>
      </c>
      <c r="Q157" s="87">
        <f t="shared" si="39"/>
        <v>50.5</v>
      </c>
      <c r="R157" s="13">
        <f t="shared" si="43"/>
        <v>0</v>
      </c>
      <c r="S157" s="87">
        <f t="shared" si="40"/>
        <v>50.5</v>
      </c>
    </row>
    <row r="158" spans="1:19" s="91" customFormat="1" ht="12.75">
      <c r="A158" s="62" t="str">
        <f ca="1">IF(ISERROR(MATCH(E158,Код_КЦСР,0)),"",INDIRECT(ADDRESS(MATCH(E158,Код_КЦСР,0)+1,2,,,"КЦСР")))</f>
        <v>Расходы, не включенные в муниципальные программы города Череповца</v>
      </c>
      <c r="B158" s="115">
        <v>801</v>
      </c>
      <c r="C158" s="8" t="s">
        <v>221</v>
      </c>
      <c r="D158" s="8" t="s">
        <v>198</v>
      </c>
      <c r="E158" s="115" t="s">
        <v>309</v>
      </c>
      <c r="F158" s="115"/>
      <c r="G158" s="70">
        <f t="shared" si="43"/>
        <v>100</v>
      </c>
      <c r="H158" s="70">
        <f t="shared" si="43"/>
        <v>0</v>
      </c>
      <c r="I158" s="70">
        <f t="shared" si="27"/>
        <v>100</v>
      </c>
      <c r="J158" s="70">
        <f t="shared" si="43"/>
        <v>0</v>
      </c>
      <c r="K158" s="87">
        <f t="shared" si="28"/>
        <v>100</v>
      </c>
      <c r="L158" s="13">
        <f t="shared" si="43"/>
        <v>-50</v>
      </c>
      <c r="M158" s="87">
        <f t="shared" si="41"/>
        <v>50</v>
      </c>
      <c r="N158" s="13">
        <f t="shared" si="43"/>
        <v>0.5</v>
      </c>
      <c r="O158" s="87">
        <f t="shared" si="42"/>
        <v>50.5</v>
      </c>
      <c r="P158" s="13">
        <f t="shared" si="43"/>
        <v>0</v>
      </c>
      <c r="Q158" s="87">
        <f t="shared" si="39"/>
        <v>50.5</v>
      </c>
      <c r="R158" s="13">
        <f t="shared" si="43"/>
        <v>0</v>
      </c>
      <c r="S158" s="87">
        <f t="shared" si="40"/>
        <v>50.5</v>
      </c>
    </row>
    <row r="159" spans="1:19" s="91" customFormat="1" ht="33">
      <c r="A159" s="62" t="str">
        <f ca="1">IF(ISERROR(MATCH(E159,Код_КЦСР,0)),"",INDIRECT(ADDRESS(MATCH(E159,Код_КЦСР,0)+1,2,,,"КЦСР")))</f>
        <v>Реализация функций органов местного самоуправления города, связанных с общегородским управлением</v>
      </c>
      <c r="B159" s="115">
        <v>801</v>
      </c>
      <c r="C159" s="8" t="s">
        <v>221</v>
      </c>
      <c r="D159" s="8" t="s">
        <v>198</v>
      </c>
      <c r="E159" s="115" t="s">
        <v>317</v>
      </c>
      <c r="F159" s="115"/>
      <c r="G159" s="70">
        <f t="shared" si="43"/>
        <v>100</v>
      </c>
      <c r="H159" s="70">
        <f t="shared" si="43"/>
        <v>0</v>
      </c>
      <c r="I159" s="70">
        <f t="shared" si="27"/>
        <v>100</v>
      </c>
      <c r="J159" s="70">
        <f t="shared" si="43"/>
        <v>0</v>
      </c>
      <c r="K159" s="87">
        <f t="shared" si="28"/>
        <v>100</v>
      </c>
      <c r="L159" s="13">
        <f t="shared" si="43"/>
        <v>-50</v>
      </c>
      <c r="M159" s="87">
        <f t="shared" si="41"/>
        <v>50</v>
      </c>
      <c r="N159" s="13">
        <f>N160+N164</f>
        <v>0.5</v>
      </c>
      <c r="O159" s="87">
        <f t="shared" si="42"/>
        <v>50.5</v>
      </c>
      <c r="P159" s="13">
        <f>P160+P164</f>
        <v>0</v>
      </c>
      <c r="Q159" s="87">
        <f t="shared" si="39"/>
        <v>50.5</v>
      </c>
      <c r="R159" s="13">
        <f>R160+R164</f>
        <v>0</v>
      </c>
      <c r="S159" s="87">
        <f t="shared" si="40"/>
        <v>50.5</v>
      </c>
    </row>
    <row r="160" spans="1:19" s="91" customFormat="1" ht="12.75">
      <c r="A160" s="62" t="str">
        <f ca="1">IF(ISERROR(MATCH(E160,Код_КЦСР,0)),"",INDIRECT(ADDRESS(MATCH(E160,Код_КЦСР,0)+1,2,,,"КЦСР")))</f>
        <v>Расходы на судебные издержки и исполнение судебных решений</v>
      </c>
      <c r="B160" s="115">
        <v>801</v>
      </c>
      <c r="C160" s="8" t="s">
        <v>221</v>
      </c>
      <c r="D160" s="8" t="s">
        <v>198</v>
      </c>
      <c r="E160" s="115" t="s">
        <v>319</v>
      </c>
      <c r="F160" s="115"/>
      <c r="G160" s="70">
        <f t="shared" si="43"/>
        <v>100</v>
      </c>
      <c r="H160" s="70">
        <f t="shared" si="43"/>
        <v>0</v>
      </c>
      <c r="I160" s="70">
        <f t="shared" si="27"/>
        <v>100</v>
      </c>
      <c r="J160" s="70">
        <f t="shared" si="43"/>
        <v>0</v>
      </c>
      <c r="K160" s="87">
        <f t="shared" si="28"/>
        <v>100</v>
      </c>
      <c r="L160" s="13">
        <f t="shared" si="43"/>
        <v>-50</v>
      </c>
      <c r="M160" s="87">
        <f t="shared" si="41"/>
        <v>50</v>
      </c>
      <c r="N160" s="13">
        <f t="shared" si="43"/>
        <v>0</v>
      </c>
      <c r="O160" s="87">
        <f t="shared" si="42"/>
        <v>50</v>
      </c>
      <c r="P160" s="13">
        <f t="shared" si="43"/>
        <v>0</v>
      </c>
      <c r="Q160" s="87">
        <f t="shared" si="39"/>
        <v>50</v>
      </c>
      <c r="R160" s="13">
        <f t="shared" si="43"/>
        <v>0</v>
      </c>
      <c r="S160" s="87">
        <f t="shared" si="40"/>
        <v>50</v>
      </c>
    </row>
    <row r="161" spans="1:19" s="91" customFormat="1" ht="12.75">
      <c r="A161" s="62" t="str">
        <f ca="1">IF(ISERROR(MATCH(F161,Код_КВР,0)),"",INDIRECT(ADDRESS(MATCH(F161,Код_КВР,0)+1,2,,,"КВР")))</f>
        <v>Иные бюджетные ассигнования</v>
      </c>
      <c r="B161" s="115">
        <v>801</v>
      </c>
      <c r="C161" s="8" t="s">
        <v>221</v>
      </c>
      <c r="D161" s="8" t="s">
        <v>198</v>
      </c>
      <c r="E161" s="115" t="s">
        <v>319</v>
      </c>
      <c r="F161" s="115">
        <v>800</v>
      </c>
      <c r="G161" s="70">
        <f t="shared" si="43"/>
        <v>100</v>
      </c>
      <c r="H161" s="70">
        <f t="shared" si="43"/>
        <v>0</v>
      </c>
      <c r="I161" s="70">
        <f t="shared" si="27"/>
        <v>100</v>
      </c>
      <c r="J161" s="70">
        <f t="shared" si="43"/>
        <v>0</v>
      </c>
      <c r="K161" s="87">
        <f t="shared" si="28"/>
        <v>100</v>
      </c>
      <c r="L161" s="13">
        <f t="shared" si="43"/>
        <v>-50</v>
      </c>
      <c r="M161" s="87">
        <f t="shared" si="41"/>
        <v>50</v>
      </c>
      <c r="N161" s="13">
        <f t="shared" si="43"/>
        <v>0</v>
      </c>
      <c r="O161" s="87">
        <f t="shared" si="42"/>
        <v>50</v>
      </c>
      <c r="P161" s="13">
        <f t="shared" si="43"/>
        <v>0</v>
      </c>
      <c r="Q161" s="87">
        <f t="shared" si="39"/>
        <v>50</v>
      </c>
      <c r="R161" s="13">
        <f t="shared" si="43"/>
        <v>0</v>
      </c>
      <c r="S161" s="87">
        <f t="shared" si="40"/>
        <v>50</v>
      </c>
    </row>
    <row r="162" spans="1:19" s="91" customFormat="1" ht="12.75">
      <c r="A162" s="62" t="str">
        <f ca="1">IF(ISERROR(MATCH(F162,Код_КВР,0)),"",INDIRECT(ADDRESS(MATCH(F162,Код_КВР,0)+1,2,,,"КВР")))</f>
        <v>Исполнение судебных актов</v>
      </c>
      <c r="B162" s="115">
        <v>801</v>
      </c>
      <c r="C162" s="8" t="s">
        <v>221</v>
      </c>
      <c r="D162" s="8" t="s">
        <v>198</v>
      </c>
      <c r="E162" s="115" t="s">
        <v>319</v>
      </c>
      <c r="F162" s="115">
        <v>830</v>
      </c>
      <c r="G162" s="70">
        <f t="shared" si="43"/>
        <v>100</v>
      </c>
      <c r="H162" s="70">
        <f t="shared" si="43"/>
        <v>0</v>
      </c>
      <c r="I162" s="70">
        <f t="shared" si="27"/>
        <v>100</v>
      </c>
      <c r="J162" s="70">
        <f t="shared" si="43"/>
        <v>0</v>
      </c>
      <c r="K162" s="87">
        <f t="shared" si="28"/>
        <v>100</v>
      </c>
      <c r="L162" s="13">
        <f t="shared" si="43"/>
        <v>-50</v>
      </c>
      <c r="M162" s="87">
        <f t="shared" si="41"/>
        <v>50</v>
      </c>
      <c r="N162" s="13">
        <f t="shared" si="43"/>
        <v>0</v>
      </c>
      <c r="O162" s="87">
        <f t="shared" si="42"/>
        <v>50</v>
      </c>
      <c r="P162" s="13">
        <f t="shared" si="43"/>
        <v>0</v>
      </c>
      <c r="Q162" s="87">
        <f t="shared" si="39"/>
        <v>50</v>
      </c>
      <c r="R162" s="13">
        <f t="shared" si="43"/>
        <v>0</v>
      </c>
      <c r="S162" s="87">
        <f t="shared" si="40"/>
        <v>50</v>
      </c>
    </row>
    <row r="163" spans="1:19" s="91" customFormat="1" ht="82.5" customHeight="1">
      <c r="A163" s="62" t="str">
        <f ca="1">IF(ISERROR(MATCH(F163,Код_КВР,0)),"",INDIRECT(ADDRESS(MATCH(F163,Код_КВР,0)+1,2,,,"КВР")))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63" s="115">
        <v>801</v>
      </c>
      <c r="C163" s="8" t="s">
        <v>221</v>
      </c>
      <c r="D163" s="8" t="s">
        <v>198</v>
      </c>
      <c r="E163" s="115" t="s">
        <v>319</v>
      </c>
      <c r="F163" s="115">
        <v>831</v>
      </c>
      <c r="G163" s="70">
        <v>100</v>
      </c>
      <c r="H163" s="70"/>
      <c r="I163" s="70">
        <f t="shared" si="27"/>
        <v>100</v>
      </c>
      <c r="J163" s="70"/>
      <c r="K163" s="87">
        <f t="shared" si="28"/>
        <v>100</v>
      </c>
      <c r="L163" s="13">
        <v>-50</v>
      </c>
      <c r="M163" s="87">
        <f t="shared" si="41"/>
        <v>50</v>
      </c>
      <c r="N163" s="13"/>
      <c r="O163" s="87">
        <f t="shared" si="42"/>
        <v>50</v>
      </c>
      <c r="P163" s="13"/>
      <c r="Q163" s="87">
        <f t="shared" si="39"/>
        <v>50</v>
      </c>
      <c r="R163" s="13"/>
      <c r="S163" s="87">
        <f t="shared" si="40"/>
        <v>50</v>
      </c>
    </row>
    <row r="164" spans="1:19" s="95" customFormat="1" ht="22.5" customHeight="1">
      <c r="A164" s="62" t="str">
        <f ca="1">IF(ISERROR(MATCH(E164,Код_КЦСР,0)),"",INDIRECT(ADDRESS(MATCH(E164,Код_КЦСР,0)+1,2,,,"КЦСР")))</f>
        <v>Выполнение других обязательств органов местного самоуправления</v>
      </c>
      <c r="B164" s="115">
        <v>801</v>
      </c>
      <c r="C164" s="8" t="s">
        <v>221</v>
      </c>
      <c r="D164" s="8" t="s">
        <v>198</v>
      </c>
      <c r="E164" s="115" t="s">
        <v>321</v>
      </c>
      <c r="F164" s="115"/>
      <c r="G164" s="70"/>
      <c r="H164" s="70"/>
      <c r="I164" s="70"/>
      <c r="J164" s="70"/>
      <c r="K164" s="87"/>
      <c r="L164" s="13"/>
      <c r="M164" s="87"/>
      <c r="N164" s="13">
        <f>N165</f>
        <v>0.5</v>
      </c>
      <c r="O164" s="87">
        <f t="shared" si="42"/>
        <v>0.5</v>
      </c>
      <c r="P164" s="13">
        <f>P165</f>
        <v>0</v>
      </c>
      <c r="Q164" s="87">
        <f t="shared" si="39"/>
        <v>0.5</v>
      </c>
      <c r="R164" s="13">
        <f>R165</f>
        <v>0</v>
      </c>
      <c r="S164" s="87">
        <f t="shared" si="40"/>
        <v>0.5</v>
      </c>
    </row>
    <row r="165" spans="1:19" s="95" customFormat="1" ht="12.75">
      <c r="A165" s="62" t="str">
        <f ca="1">IF(ISERROR(MATCH(F165,Код_КВР,0)),"",INDIRECT(ADDRESS(MATCH(F165,Код_КВР,0)+1,2,,,"КВР")))</f>
        <v>Иные бюджетные ассигнования</v>
      </c>
      <c r="B165" s="115">
        <v>801</v>
      </c>
      <c r="C165" s="8" t="s">
        <v>221</v>
      </c>
      <c r="D165" s="8" t="s">
        <v>198</v>
      </c>
      <c r="E165" s="115" t="s">
        <v>321</v>
      </c>
      <c r="F165" s="115">
        <v>800</v>
      </c>
      <c r="G165" s="70"/>
      <c r="H165" s="70"/>
      <c r="I165" s="70"/>
      <c r="J165" s="70"/>
      <c r="K165" s="87"/>
      <c r="L165" s="13"/>
      <c r="M165" s="87"/>
      <c r="N165" s="13">
        <f>N166</f>
        <v>0.5</v>
      </c>
      <c r="O165" s="87">
        <f t="shared" si="42"/>
        <v>0.5</v>
      </c>
      <c r="P165" s="13">
        <f>P166</f>
        <v>0</v>
      </c>
      <c r="Q165" s="87">
        <f t="shared" si="39"/>
        <v>0.5</v>
      </c>
      <c r="R165" s="13">
        <f>R166</f>
        <v>0</v>
      </c>
      <c r="S165" s="87">
        <f t="shared" si="40"/>
        <v>0.5</v>
      </c>
    </row>
    <row r="166" spans="1:19" s="95" customFormat="1" ht="12.75">
      <c r="A166" s="62" t="str">
        <f ca="1">IF(ISERROR(MATCH(F166,Код_КВР,0)),"",INDIRECT(ADDRESS(MATCH(F166,Код_КВР,0)+1,2,,,"КВР")))</f>
        <v>Уплата налогов, сборов и иных платежей</v>
      </c>
      <c r="B166" s="115">
        <v>801</v>
      </c>
      <c r="C166" s="8" t="s">
        <v>221</v>
      </c>
      <c r="D166" s="8" t="s">
        <v>198</v>
      </c>
      <c r="E166" s="115" t="s">
        <v>321</v>
      </c>
      <c r="F166" s="115">
        <v>850</v>
      </c>
      <c r="G166" s="70"/>
      <c r="H166" s="70"/>
      <c r="I166" s="70"/>
      <c r="J166" s="70"/>
      <c r="K166" s="87"/>
      <c r="L166" s="13"/>
      <c r="M166" s="87"/>
      <c r="N166" s="13">
        <f>N167</f>
        <v>0.5</v>
      </c>
      <c r="O166" s="87">
        <f t="shared" si="42"/>
        <v>0.5</v>
      </c>
      <c r="P166" s="13">
        <f>P167</f>
        <v>0</v>
      </c>
      <c r="Q166" s="87">
        <f t="shared" si="39"/>
        <v>0.5</v>
      </c>
      <c r="R166" s="13">
        <f>R167</f>
        <v>0</v>
      </c>
      <c r="S166" s="87">
        <f t="shared" si="40"/>
        <v>0.5</v>
      </c>
    </row>
    <row r="167" spans="1:19" s="95" customFormat="1" ht="12.75">
      <c r="A167" s="62" t="str">
        <f ca="1">IF(ISERROR(MATCH(F167,Код_КВР,0)),"",INDIRECT(ADDRESS(MATCH(F167,Код_КВР,0)+1,2,,,"КВР")))</f>
        <v>Уплата налога на имущество организаций и земельного налога</v>
      </c>
      <c r="B167" s="115">
        <v>801</v>
      </c>
      <c r="C167" s="8" t="s">
        <v>221</v>
      </c>
      <c r="D167" s="8" t="s">
        <v>198</v>
      </c>
      <c r="E167" s="115" t="s">
        <v>321</v>
      </c>
      <c r="F167" s="115">
        <v>851</v>
      </c>
      <c r="G167" s="70"/>
      <c r="H167" s="70"/>
      <c r="I167" s="70"/>
      <c r="J167" s="70"/>
      <c r="K167" s="87"/>
      <c r="L167" s="13"/>
      <c r="M167" s="87"/>
      <c r="N167" s="13">
        <v>0.5</v>
      </c>
      <c r="O167" s="87">
        <f t="shared" si="42"/>
        <v>0.5</v>
      </c>
      <c r="P167" s="13"/>
      <c r="Q167" s="87">
        <f t="shared" si="39"/>
        <v>0.5</v>
      </c>
      <c r="R167" s="13"/>
      <c r="S167" s="87">
        <f t="shared" si="40"/>
        <v>0.5</v>
      </c>
    </row>
    <row r="168" spans="1:19" s="91" customFormat="1" ht="12.75">
      <c r="A168" s="62" t="str">
        <f ca="1">IF(ISERROR(MATCH(C168,Код_Раздел,0)),"",INDIRECT(ADDRESS(MATCH(C168,Код_Раздел,0)+1,2,,,"Раздел")))</f>
        <v>Национальная безопасность и правоохранительная  деятельность</v>
      </c>
      <c r="B168" s="115">
        <v>801</v>
      </c>
      <c r="C168" s="8" t="s">
        <v>223</v>
      </c>
      <c r="D168" s="8"/>
      <c r="E168" s="115"/>
      <c r="F168" s="115"/>
      <c r="G168" s="70">
        <f>G169</f>
        <v>59148.7</v>
      </c>
      <c r="H168" s="70">
        <f>H169</f>
        <v>0</v>
      </c>
      <c r="I168" s="70">
        <f aca="true" t="shared" si="44" ref="I168:I242">G168+H168</f>
        <v>59148.7</v>
      </c>
      <c r="J168" s="70">
        <f>J169</f>
        <v>0</v>
      </c>
      <c r="K168" s="87">
        <f aca="true" t="shared" si="45" ref="K168:K242">I168+J168</f>
        <v>59148.7</v>
      </c>
      <c r="L168" s="13">
        <f>L169</f>
        <v>-3441.5</v>
      </c>
      <c r="M168" s="87">
        <f t="shared" si="41"/>
        <v>55707.2</v>
      </c>
      <c r="N168" s="13">
        <f>N169</f>
        <v>0</v>
      </c>
      <c r="O168" s="87">
        <f t="shared" si="42"/>
        <v>55707.2</v>
      </c>
      <c r="P168" s="13">
        <f>P169</f>
        <v>0</v>
      </c>
      <c r="Q168" s="87">
        <f t="shared" si="39"/>
        <v>55707.2</v>
      </c>
      <c r="R168" s="13">
        <f>R169</f>
        <v>80.1</v>
      </c>
      <c r="S168" s="87">
        <f t="shared" si="40"/>
        <v>55787.299999999996</v>
      </c>
    </row>
    <row r="169" spans="1:19" s="91" customFormat="1" ht="33">
      <c r="A169" s="12" t="s">
        <v>270</v>
      </c>
      <c r="B169" s="115">
        <v>801</v>
      </c>
      <c r="C169" s="8" t="s">
        <v>223</v>
      </c>
      <c r="D169" s="8" t="s">
        <v>227</v>
      </c>
      <c r="E169" s="115"/>
      <c r="F169" s="115"/>
      <c r="G169" s="70">
        <f>G170+G179+G215</f>
        <v>59148.7</v>
      </c>
      <c r="H169" s="70">
        <f>H170+H179+H215</f>
        <v>0</v>
      </c>
      <c r="I169" s="70">
        <f t="shared" si="44"/>
        <v>59148.7</v>
      </c>
      <c r="J169" s="70">
        <f>J170+J179+J215</f>
        <v>0</v>
      </c>
      <c r="K169" s="87">
        <f t="shared" si="45"/>
        <v>59148.7</v>
      </c>
      <c r="L169" s="13">
        <f>L170+L179+L215</f>
        <v>-3441.5</v>
      </c>
      <c r="M169" s="87">
        <f t="shared" si="41"/>
        <v>55707.2</v>
      </c>
      <c r="N169" s="13">
        <f>N170+N179+N215</f>
        <v>0</v>
      </c>
      <c r="O169" s="87">
        <f t="shared" si="42"/>
        <v>55707.2</v>
      </c>
      <c r="P169" s="13">
        <f>P170+P179+P215</f>
        <v>0</v>
      </c>
      <c r="Q169" s="87">
        <f t="shared" si="39"/>
        <v>55707.2</v>
      </c>
      <c r="R169" s="13">
        <f>R170+R179+R215</f>
        <v>80.1</v>
      </c>
      <c r="S169" s="87">
        <f t="shared" si="40"/>
        <v>55787.299999999996</v>
      </c>
    </row>
    <row r="170" spans="1:19" s="91" customFormat="1" ht="12.75">
      <c r="A170" s="62" t="str">
        <f ca="1">IF(ISERROR(MATCH(E170,Код_КЦСР,0)),"",INDIRECT(ADDRESS(MATCH(E170,Код_КЦСР,0)+1,2,,,"КЦСР")))</f>
        <v>Муниципальная программа «Здоровый город» на 2014-2022 годы</v>
      </c>
      <c r="B170" s="115">
        <v>801</v>
      </c>
      <c r="C170" s="8" t="s">
        <v>223</v>
      </c>
      <c r="D170" s="8" t="s">
        <v>227</v>
      </c>
      <c r="E170" s="115" t="s">
        <v>579</v>
      </c>
      <c r="F170" s="115"/>
      <c r="G170" s="70">
        <f>G171+G175</f>
        <v>77.9</v>
      </c>
      <c r="H170" s="70">
        <f>H171+H175</f>
        <v>0</v>
      </c>
      <c r="I170" s="70">
        <f t="shared" si="44"/>
        <v>77.9</v>
      </c>
      <c r="J170" s="70">
        <f>J171+J175</f>
        <v>0</v>
      </c>
      <c r="K170" s="87">
        <f t="shared" si="45"/>
        <v>77.9</v>
      </c>
      <c r="L170" s="13">
        <f>L171+L175</f>
        <v>0</v>
      </c>
      <c r="M170" s="87">
        <f t="shared" si="41"/>
        <v>77.9</v>
      </c>
      <c r="N170" s="13">
        <f>N171+N175</f>
        <v>0</v>
      </c>
      <c r="O170" s="87">
        <f t="shared" si="42"/>
        <v>77.9</v>
      </c>
      <c r="P170" s="13">
        <f>P171+P175</f>
        <v>0</v>
      </c>
      <c r="Q170" s="87">
        <f t="shared" si="39"/>
        <v>77.9</v>
      </c>
      <c r="R170" s="13">
        <f>R171+R175</f>
        <v>0</v>
      </c>
      <c r="S170" s="87">
        <f t="shared" si="40"/>
        <v>77.9</v>
      </c>
    </row>
    <row r="171" spans="1:19" s="91" customFormat="1" ht="12.75">
      <c r="A171" s="62" t="str">
        <f ca="1">IF(ISERROR(MATCH(E171,Код_КЦСР,0)),"",INDIRECT(ADDRESS(MATCH(E171,Код_КЦСР,0)+1,2,,,"КЦСР")))</f>
        <v>Сохранение и укрепление здоровья детей и подростков</v>
      </c>
      <c r="B171" s="115">
        <v>801</v>
      </c>
      <c r="C171" s="8" t="s">
        <v>223</v>
      </c>
      <c r="D171" s="8" t="s">
        <v>227</v>
      </c>
      <c r="E171" s="115" t="s">
        <v>582</v>
      </c>
      <c r="F171" s="115"/>
      <c r="G171" s="70">
        <f aca="true" t="shared" si="46" ref="G171:R173">G172</f>
        <v>77.9</v>
      </c>
      <c r="H171" s="70">
        <f t="shared" si="46"/>
        <v>0</v>
      </c>
      <c r="I171" s="70">
        <f t="shared" si="44"/>
        <v>77.9</v>
      </c>
      <c r="J171" s="70">
        <f t="shared" si="46"/>
        <v>0</v>
      </c>
      <c r="K171" s="87">
        <f t="shared" si="45"/>
        <v>77.9</v>
      </c>
      <c r="L171" s="13">
        <f t="shared" si="46"/>
        <v>0</v>
      </c>
      <c r="M171" s="87">
        <f t="shared" si="41"/>
        <v>77.9</v>
      </c>
      <c r="N171" s="13">
        <f t="shared" si="46"/>
        <v>0</v>
      </c>
      <c r="O171" s="87">
        <f t="shared" si="42"/>
        <v>77.9</v>
      </c>
      <c r="P171" s="13">
        <f t="shared" si="46"/>
        <v>0</v>
      </c>
      <c r="Q171" s="87">
        <f t="shared" si="39"/>
        <v>77.9</v>
      </c>
      <c r="R171" s="13">
        <f t="shared" si="46"/>
        <v>0</v>
      </c>
      <c r="S171" s="87">
        <f t="shared" si="40"/>
        <v>77.9</v>
      </c>
    </row>
    <row r="172" spans="1:19" s="91" customFormat="1" ht="12.75">
      <c r="A172" s="62" t="str">
        <f ca="1">IF(ISERROR(MATCH(F172,Код_КВР,0)),"",INDIRECT(ADDRESS(MATCH(F172,Код_КВР,0)+1,2,,,"КВР")))</f>
        <v>Закупка товаров, работ и услуг для муниципальных нужд</v>
      </c>
      <c r="B172" s="115">
        <v>801</v>
      </c>
      <c r="C172" s="8" t="s">
        <v>223</v>
      </c>
      <c r="D172" s="8" t="s">
        <v>227</v>
      </c>
      <c r="E172" s="115" t="s">
        <v>582</v>
      </c>
      <c r="F172" s="115">
        <v>200</v>
      </c>
      <c r="G172" s="70">
        <f t="shared" si="46"/>
        <v>77.9</v>
      </c>
      <c r="H172" s="70">
        <f t="shared" si="46"/>
        <v>0</v>
      </c>
      <c r="I172" s="70">
        <f t="shared" si="44"/>
        <v>77.9</v>
      </c>
      <c r="J172" s="70">
        <f t="shared" si="46"/>
        <v>0</v>
      </c>
      <c r="K172" s="87">
        <f t="shared" si="45"/>
        <v>77.9</v>
      </c>
      <c r="L172" s="13">
        <f t="shared" si="46"/>
        <v>0</v>
      </c>
      <c r="M172" s="87">
        <f t="shared" si="41"/>
        <v>77.9</v>
      </c>
      <c r="N172" s="13">
        <f t="shared" si="46"/>
        <v>0</v>
      </c>
      <c r="O172" s="87">
        <f t="shared" si="42"/>
        <v>77.9</v>
      </c>
      <c r="P172" s="13">
        <f t="shared" si="46"/>
        <v>0</v>
      </c>
      <c r="Q172" s="87">
        <f t="shared" si="39"/>
        <v>77.9</v>
      </c>
      <c r="R172" s="13">
        <f t="shared" si="46"/>
        <v>0</v>
      </c>
      <c r="S172" s="87">
        <f t="shared" si="40"/>
        <v>77.9</v>
      </c>
    </row>
    <row r="173" spans="1:19" s="91" customFormat="1" ht="33">
      <c r="A173" s="62" t="str">
        <f ca="1">IF(ISERROR(MATCH(F173,Код_КВР,0)),"",INDIRECT(ADDRESS(MATCH(F173,Код_КВР,0)+1,2,,,"КВР")))</f>
        <v>Иные закупки товаров, работ и услуг для обеспечения муниципальных нужд</v>
      </c>
      <c r="B173" s="115">
        <v>801</v>
      </c>
      <c r="C173" s="8" t="s">
        <v>223</v>
      </c>
      <c r="D173" s="8" t="s">
        <v>227</v>
      </c>
      <c r="E173" s="115" t="s">
        <v>582</v>
      </c>
      <c r="F173" s="115">
        <v>240</v>
      </c>
      <c r="G173" s="70">
        <f t="shared" si="46"/>
        <v>77.9</v>
      </c>
      <c r="H173" s="70">
        <f t="shared" si="46"/>
        <v>0</v>
      </c>
      <c r="I173" s="70">
        <f t="shared" si="44"/>
        <v>77.9</v>
      </c>
      <c r="J173" s="70">
        <f t="shared" si="46"/>
        <v>0</v>
      </c>
      <c r="K173" s="87">
        <f t="shared" si="45"/>
        <v>77.9</v>
      </c>
      <c r="L173" s="13">
        <f t="shared" si="46"/>
        <v>0</v>
      </c>
      <c r="M173" s="87">
        <f t="shared" si="41"/>
        <v>77.9</v>
      </c>
      <c r="N173" s="13">
        <f t="shared" si="46"/>
        <v>0</v>
      </c>
      <c r="O173" s="87">
        <f t="shared" si="42"/>
        <v>77.9</v>
      </c>
      <c r="P173" s="13">
        <f t="shared" si="46"/>
        <v>0</v>
      </c>
      <c r="Q173" s="87">
        <f t="shared" si="39"/>
        <v>77.9</v>
      </c>
      <c r="R173" s="13">
        <f t="shared" si="46"/>
        <v>0</v>
      </c>
      <c r="S173" s="87">
        <f t="shared" si="40"/>
        <v>77.9</v>
      </c>
    </row>
    <row r="174" spans="1:19" s="91" customFormat="1" ht="33">
      <c r="A174" s="62" t="str">
        <f ca="1">IF(ISERROR(MATCH(F174,Код_КВР,0)),"",INDIRECT(ADDRESS(MATCH(F174,Код_КВР,0)+1,2,,,"КВР")))</f>
        <v xml:space="preserve">Прочая закупка товаров, работ и услуг для обеспечения муниципальных нужд         </v>
      </c>
      <c r="B174" s="115">
        <v>801</v>
      </c>
      <c r="C174" s="8" t="s">
        <v>223</v>
      </c>
      <c r="D174" s="8" t="s">
        <v>227</v>
      </c>
      <c r="E174" s="115" t="s">
        <v>582</v>
      </c>
      <c r="F174" s="115">
        <v>244</v>
      </c>
      <c r="G174" s="70">
        <v>77.9</v>
      </c>
      <c r="H174" s="70"/>
      <c r="I174" s="70">
        <f t="shared" si="44"/>
        <v>77.9</v>
      </c>
      <c r="J174" s="70"/>
      <c r="K174" s="87">
        <f t="shared" si="45"/>
        <v>77.9</v>
      </c>
      <c r="L174" s="13"/>
      <c r="M174" s="87">
        <f t="shared" si="41"/>
        <v>77.9</v>
      </c>
      <c r="N174" s="13"/>
      <c r="O174" s="87">
        <f t="shared" si="42"/>
        <v>77.9</v>
      </c>
      <c r="P174" s="13"/>
      <c r="Q174" s="87">
        <f t="shared" si="39"/>
        <v>77.9</v>
      </c>
      <c r="R174" s="13"/>
      <c r="S174" s="87">
        <f t="shared" si="40"/>
        <v>77.9</v>
      </c>
    </row>
    <row r="175" spans="1:19" s="91" customFormat="1" ht="12.75" hidden="1">
      <c r="A175" s="62" t="str">
        <f ca="1">IF(ISERROR(MATCH(E175,Код_КЦСР,0)),"",INDIRECT(ADDRESS(MATCH(E175,Код_КЦСР,0)+1,2,,,"КЦСР")))</f>
        <v>Здоровье на рабочем месте</v>
      </c>
      <c r="B175" s="115">
        <v>801</v>
      </c>
      <c r="C175" s="8" t="s">
        <v>223</v>
      </c>
      <c r="D175" s="8" t="s">
        <v>227</v>
      </c>
      <c r="E175" s="115" t="s">
        <v>588</v>
      </c>
      <c r="F175" s="115"/>
      <c r="G175" s="70">
        <f aca="true" t="shared" si="47" ref="G175:R177">G176</f>
        <v>0</v>
      </c>
      <c r="H175" s="70">
        <f t="shared" si="47"/>
        <v>0</v>
      </c>
      <c r="I175" s="70">
        <f t="shared" si="44"/>
        <v>0</v>
      </c>
      <c r="J175" s="70">
        <f t="shared" si="47"/>
        <v>0</v>
      </c>
      <c r="K175" s="87">
        <f t="shared" si="45"/>
        <v>0</v>
      </c>
      <c r="L175" s="13">
        <f t="shared" si="47"/>
        <v>0</v>
      </c>
      <c r="M175" s="87">
        <f t="shared" si="41"/>
        <v>0</v>
      </c>
      <c r="N175" s="13">
        <f t="shared" si="47"/>
        <v>0</v>
      </c>
      <c r="O175" s="87">
        <f t="shared" si="42"/>
        <v>0</v>
      </c>
      <c r="P175" s="13">
        <f t="shared" si="47"/>
        <v>0</v>
      </c>
      <c r="Q175" s="87">
        <f t="shared" si="39"/>
        <v>0</v>
      </c>
      <c r="R175" s="13">
        <f t="shared" si="47"/>
        <v>0</v>
      </c>
      <c r="S175" s="87">
        <f t="shared" si="40"/>
        <v>0</v>
      </c>
    </row>
    <row r="176" spans="1:19" s="91" customFormat="1" ht="12.75" hidden="1">
      <c r="A176" s="62" t="str">
        <f ca="1">IF(ISERROR(MATCH(F176,Код_КВР,0)),"",INDIRECT(ADDRESS(MATCH(F176,Код_КВР,0)+1,2,,,"КВР")))</f>
        <v>Закупка товаров, работ и услуг для муниципальных нужд</v>
      </c>
      <c r="B176" s="115">
        <v>801</v>
      </c>
      <c r="C176" s="8" t="s">
        <v>223</v>
      </c>
      <c r="D176" s="8" t="s">
        <v>227</v>
      </c>
      <c r="E176" s="115" t="s">
        <v>588</v>
      </c>
      <c r="F176" s="115">
        <v>200</v>
      </c>
      <c r="G176" s="70">
        <f t="shared" si="47"/>
        <v>0</v>
      </c>
      <c r="H176" s="70">
        <f t="shared" si="47"/>
        <v>0</v>
      </c>
      <c r="I176" s="70">
        <f t="shared" si="44"/>
        <v>0</v>
      </c>
      <c r="J176" s="70">
        <f t="shared" si="47"/>
        <v>0</v>
      </c>
      <c r="K176" s="87">
        <f t="shared" si="45"/>
        <v>0</v>
      </c>
      <c r="L176" s="13">
        <f t="shared" si="47"/>
        <v>0</v>
      </c>
      <c r="M176" s="87">
        <f t="shared" si="41"/>
        <v>0</v>
      </c>
      <c r="N176" s="13">
        <f t="shared" si="47"/>
        <v>0</v>
      </c>
      <c r="O176" s="87">
        <f t="shared" si="42"/>
        <v>0</v>
      </c>
      <c r="P176" s="13">
        <f t="shared" si="47"/>
        <v>0</v>
      </c>
      <c r="Q176" s="87">
        <f t="shared" si="39"/>
        <v>0</v>
      </c>
      <c r="R176" s="13">
        <f t="shared" si="47"/>
        <v>0</v>
      </c>
      <c r="S176" s="87">
        <f t="shared" si="40"/>
        <v>0</v>
      </c>
    </row>
    <row r="177" spans="1:19" s="91" customFormat="1" ht="33" hidden="1">
      <c r="A177" s="62" t="str">
        <f ca="1">IF(ISERROR(MATCH(F177,Код_КВР,0)),"",INDIRECT(ADDRESS(MATCH(F177,Код_КВР,0)+1,2,,,"КВР")))</f>
        <v>Иные закупки товаров, работ и услуг для обеспечения муниципальных нужд</v>
      </c>
      <c r="B177" s="115">
        <v>801</v>
      </c>
      <c r="C177" s="8" t="s">
        <v>223</v>
      </c>
      <c r="D177" s="8" t="s">
        <v>227</v>
      </c>
      <c r="E177" s="115" t="s">
        <v>588</v>
      </c>
      <c r="F177" s="115">
        <v>240</v>
      </c>
      <c r="G177" s="70">
        <f t="shared" si="47"/>
        <v>0</v>
      </c>
      <c r="H177" s="70">
        <f t="shared" si="47"/>
        <v>0</v>
      </c>
      <c r="I177" s="70">
        <f t="shared" si="44"/>
        <v>0</v>
      </c>
      <c r="J177" s="70">
        <f t="shared" si="47"/>
        <v>0</v>
      </c>
      <c r="K177" s="87">
        <f t="shared" si="45"/>
        <v>0</v>
      </c>
      <c r="L177" s="13">
        <f t="shared" si="47"/>
        <v>0</v>
      </c>
      <c r="M177" s="87">
        <f t="shared" si="41"/>
        <v>0</v>
      </c>
      <c r="N177" s="13">
        <f t="shared" si="47"/>
        <v>0</v>
      </c>
      <c r="O177" s="87">
        <f t="shared" si="42"/>
        <v>0</v>
      </c>
      <c r="P177" s="13">
        <f t="shared" si="47"/>
        <v>0</v>
      </c>
      <c r="Q177" s="87">
        <f t="shared" si="39"/>
        <v>0</v>
      </c>
      <c r="R177" s="13">
        <f t="shared" si="47"/>
        <v>0</v>
      </c>
      <c r="S177" s="87">
        <f t="shared" si="40"/>
        <v>0</v>
      </c>
    </row>
    <row r="178" spans="1:19" s="91" customFormat="1" ht="33" hidden="1">
      <c r="A178" s="62" t="str">
        <f ca="1">IF(ISERROR(MATCH(F178,Код_КВР,0)),"",INDIRECT(ADDRESS(MATCH(F178,Код_КВР,0)+1,2,,,"КВР")))</f>
        <v xml:space="preserve">Прочая закупка товаров, работ и услуг для обеспечения муниципальных нужд         </v>
      </c>
      <c r="B178" s="115">
        <v>801</v>
      </c>
      <c r="C178" s="8" t="s">
        <v>223</v>
      </c>
      <c r="D178" s="8" t="s">
        <v>227</v>
      </c>
      <c r="E178" s="115" t="s">
        <v>588</v>
      </c>
      <c r="F178" s="115">
        <v>244</v>
      </c>
      <c r="G178" s="70">
        <v>0</v>
      </c>
      <c r="H178" s="70">
        <v>0</v>
      </c>
      <c r="I178" s="70">
        <f t="shared" si="44"/>
        <v>0</v>
      </c>
      <c r="J178" s="70">
        <v>0</v>
      </c>
      <c r="K178" s="87">
        <f t="shared" si="45"/>
        <v>0</v>
      </c>
      <c r="L178" s="13">
        <v>0</v>
      </c>
      <c r="M178" s="87">
        <f t="shared" si="41"/>
        <v>0</v>
      </c>
      <c r="N178" s="13">
        <v>0</v>
      </c>
      <c r="O178" s="87">
        <f t="shared" si="42"/>
        <v>0</v>
      </c>
      <c r="P178" s="13">
        <v>0</v>
      </c>
      <c r="Q178" s="87">
        <f t="shared" si="39"/>
        <v>0</v>
      </c>
      <c r="R178" s="13">
        <v>0</v>
      </c>
      <c r="S178" s="87">
        <f t="shared" si="40"/>
        <v>0</v>
      </c>
    </row>
    <row r="179" spans="1:19" s="91" customFormat="1" ht="33">
      <c r="A179" s="62" t="str">
        <f ca="1">IF(ISERROR(MATCH(E179,Код_КЦСР,0)),"",INDIRECT(ADDRESS(MATCH(E179,Код_КЦСР,0)+1,2,,,"КЦСР")))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79" s="115">
        <v>801</v>
      </c>
      <c r="C179" s="8" t="s">
        <v>223</v>
      </c>
      <c r="D179" s="8" t="s">
        <v>227</v>
      </c>
      <c r="E179" s="115" t="s">
        <v>81</v>
      </c>
      <c r="F179" s="115"/>
      <c r="G179" s="70">
        <f>G180+G185</f>
        <v>49656.6</v>
      </c>
      <c r="H179" s="70">
        <f>H180+H185</f>
        <v>0</v>
      </c>
      <c r="I179" s="70">
        <f t="shared" si="44"/>
        <v>49656.6</v>
      </c>
      <c r="J179" s="70">
        <f>J180+J185</f>
        <v>0</v>
      </c>
      <c r="K179" s="87">
        <f t="shared" si="45"/>
        <v>49656.6</v>
      </c>
      <c r="L179" s="13">
        <f>L180+L185</f>
        <v>-3424</v>
      </c>
      <c r="M179" s="87">
        <f t="shared" si="41"/>
        <v>46232.6</v>
      </c>
      <c r="N179" s="13">
        <f>N180+N185</f>
        <v>0</v>
      </c>
      <c r="O179" s="87">
        <f t="shared" si="42"/>
        <v>46232.6</v>
      </c>
      <c r="P179" s="13">
        <f>P180+P185</f>
        <v>0</v>
      </c>
      <c r="Q179" s="87">
        <f t="shared" si="39"/>
        <v>46232.6</v>
      </c>
      <c r="R179" s="13">
        <f>R180+R185</f>
        <v>80.1</v>
      </c>
      <c r="S179" s="87">
        <f t="shared" si="40"/>
        <v>46312.7</v>
      </c>
    </row>
    <row r="180" spans="1:19" s="91" customFormat="1" ht="17.25" customHeight="1">
      <c r="A180" s="62" t="str">
        <f ca="1">IF(ISERROR(MATCH(E180,Код_КЦСР,0)),"",INDIRECT(ADDRESS(MATCH(E180,Код_КЦСР,0)+1,2,,,"КЦСР")))</f>
        <v>Обеспечение пожарной безопасности муниципальных учреждений города</v>
      </c>
      <c r="B180" s="115">
        <v>801</v>
      </c>
      <c r="C180" s="8" t="s">
        <v>223</v>
      </c>
      <c r="D180" s="8" t="s">
        <v>227</v>
      </c>
      <c r="E180" s="115" t="s">
        <v>83</v>
      </c>
      <c r="F180" s="115"/>
      <c r="G180" s="70">
        <f aca="true" t="shared" si="48" ref="G180:R183">G181</f>
        <v>215</v>
      </c>
      <c r="H180" s="70">
        <f t="shared" si="48"/>
        <v>0</v>
      </c>
      <c r="I180" s="70">
        <f t="shared" si="44"/>
        <v>215</v>
      </c>
      <c r="J180" s="70">
        <f t="shared" si="48"/>
        <v>0</v>
      </c>
      <c r="K180" s="87">
        <f t="shared" si="45"/>
        <v>215</v>
      </c>
      <c r="L180" s="13">
        <f>L181</f>
        <v>0</v>
      </c>
      <c r="M180" s="87">
        <f t="shared" si="41"/>
        <v>215</v>
      </c>
      <c r="N180" s="13">
        <f>N181</f>
        <v>0</v>
      </c>
      <c r="O180" s="87">
        <f t="shared" si="42"/>
        <v>215</v>
      </c>
      <c r="P180" s="13">
        <f>P181</f>
        <v>0</v>
      </c>
      <c r="Q180" s="87">
        <f t="shared" si="39"/>
        <v>215</v>
      </c>
      <c r="R180" s="13">
        <f>R181</f>
        <v>0</v>
      </c>
      <c r="S180" s="87">
        <f t="shared" si="40"/>
        <v>215</v>
      </c>
    </row>
    <row r="181" spans="1:19" s="91" customFormat="1" ht="49.5">
      <c r="A181" s="62" t="str">
        <f ca="1">IF(ISERROR(MATCH(E181,Код_КЦСР,0)),"",INDIRECT(ADDRESS(MATCH(E181,Код_КЦСР,0)+1,2,,,"КЦСР")))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81" s="115">
        <v>801</v>
      </c>
      <c r="C181" s="8" t="s">
        <v>223</v>
      </c>
      <c r="D181" s="8" t="s">
        <v>227</v>
      </c>
      <c r="E181" s="115" t="s">
        <v>85</v>
      </c>
      <c r="F181" s="115"/>
      <c r="G181" s="70">
        <f t="shared" si="48"/>
        <v>215</v>
      </c>
      <c r="H181" s="70">
        <f t="shared" si="48"/>
        <v>0</v>
      </c>
      <c r="I181" s="70">
        <f t="shared" si="44"/>
        <v>215</v>
      </c>
      <c r="J181" s="70">
        <f t="shared" si="48"/>
        <v>0</v>
      </c>
      <c r="K181" s="87">
        <f t="shared" si="45"/>
        <v>215</v>
      </c>
      <c r="L181" s="13">
        <f t="shared" si="48"/>
        <v>0</v>
      </c>
      <c r="M181" s="87">
        <f t="shared" si="41"/>
        <v>215</v>
      </c>
      <c r="N181" s="13">
        <f t="shared" si="48"/>
        <v>0</v>
      </c>
      <c r="O181" s="87">
        <f t="shared" si="42"/>
        <v>215</v>
      </c>
      <c r="P181" s="13">
        <f t="shared" si="48"/>
        <v>0</v>
      </c>
      <c r="Q181" s="87">
        <f t="shared" si="39"/>
        <v>215</v>
      </c>
      <c r="R181" s="13">
        <f t="shared" si="48"/>
        <v>0</v>
      </c>
      <c r="S181" s="87">
        <f t="shared" si="40"/>
        <v>215</v>
      </c>
    </row>
    <row r="182" spans="1:19" s="91" customFormat="1" ht="12.75">
      <c r="A182" s="62" t="str">
        <f ca="1">IF(ISERROR(MATCH(F182,Код_КВР,0)),"",INDIRECT(ADDRESS(MATCH(F182,Код_КВР,0)+1,2,,,"КВР")))</f>
        <v>Закупка товаров, работ и услуг для муниципальных нужд</v>
      </c>
      <c r="B182" s="115">
        <v>801</v>
      </c>
      <c r="C182" s="8" t="s">
        <v>223</v>
      </c>
      <c r="D182" s="8" t="s">
        <v>227</v>
      </c>
      <c r="E182" s="115" t="s">
        <v>85</v>
      </c>
      <c r="F182" s="115">
        <v>200</v>
      </c>
      <c r="G182" s="70">
        <f t="shared" si="48"/>
        <v>215</v>
      </c>
      <c r="H182" s="70">
        <f t="shared" si="48"/>
        <v>0</v>
      </c>
      <c r="I182" s="70">
        <f t="shared" si="44"/>
        <v>215</v>
      </c>
      <c r="J182" s="70">
        <f t="shared" si="48"/>
        <v>0</v>
      </c>
      <c r="K182" s="87">
        <f t="shared" si="45"/>
        <v>215</v>
      </c>
      <c r="L182" s="13">
        <f t="shared" si="48"/>
        <v>0</v>
      </c>
      <c r="M182" s="87">
        <f t="shared" si="41"/>
        <v>215</v>
      </c>
      <c r="N182" s="13">
        <f t="shared" si="48"/>
        <v>0</v>
      </c>
      <c r="O182" s="87">
        <f t="shared" si="42"/>
        <v>215</v>
      </c>
      <c r="P182" s="13">
        <f t="shared" si="48"/>
        <v>0</v>
      </c>
      <c r="Q182" s="87">
        <f t="shared" si="39"/>
        <v>215</v>
      </c>
      <c r="R182" s="13">
        <f t="shared" si="48"/>
        <v>0</v>
      </c>
      <c r="S182" s="87">
        <f t="shared" si="40"/>
        <v>215</v>
      </c>
    </row>
    <row r="183" spans="1:19" s="91" customFormat="1" ht="33">
      <c r="A183" s="62" t="str">
        <f ca="1">IF(ISERROR(MATCH(F183,Код_КВР,0)),"",INDIRECT(ADDRESS(MATCH(F183,Код_КВР,0)+1,2,,,"КВР")))</f>
        <v>Иные закупки товаров, работ и услуг для обеспечения муниципальных нужд</v>
      </c>
      <c r="B183" s="115">
        <v>801</v>
      </c>
      <c r="C183" s="8" t="s">
        <v>223</v>
      </c>
      <c r="D183" s="8" t="s">
        <v>227</v>
      </c>
      <c r="E183" s="115" t="s">
        <v>85</v>
      </c>
      <c r="F183" s="115">
        <v>240</v>
      </c>
      <c r="G183" s="70">
        <f t="shared" si="48"/>
        <v>215</v>
      </c>
      <c r="H183" s="70">
        <f t="shared" si="48"/>
        <v>0</v>
      </c>
      <c r="I183" s="70">
        <f t="shared" si="44"/>
        <v>215</v>
      </c>
      <c r="J183" s="70">
        <f t="shared" si="48"/>
        <v>0</v>
      </c>
      <c r="K183" s="87">
        <f t="shared" si="45"/>
        <v>215</v>
      </c>
      <c r="L183" s="13">
        <f t="shared" si="48"/>
        <v>0</v>
      </c>
      <c r="M183" s="87">
        <f t="shared" si="41"/>
        <v>215</v>
      </c>
      <c r="N183" s="13">
        <f t="shared" si="48"/>
        <v>0</v>
      </c>
      <c r="O183" s="87">
        <f t="shared" si="42"/>
        <v>215</v>
      </c>
      <c r="P183" s="13">
        <f t="shared" si="48"/>
        <v>0</v>
      </c>
      <c r="Q183" s="87">
        <f t="shared" si="39"/>
        <v>215</v>
      </c>
      <c r="R183" s="13">
        <f t="shared" si="48"/>
        <v>0</v>
      </c>
      <c r="S183" s="87">
        <f t="shared" si="40"/>
        <v>215</v>
      </c>
    </row>
    <row r="184" spans="1:19" s="91" customFormat="1" ht="33">
      <c r="A184" s="62" t="str">
        <f ca="1">IF(ISERROR(MATCH(F184,Код_КВР,0)),"",INDIRECT(ADDRESS(MATCH(F184,Код_КВР,0)+1,2,,,"КВР")))</f>
        <v xml:space="preserve">Прочая закупка товаров, работ и услуг для обеспечения муниципальных нужд         </v>
      </c>
      <c r="B184" s="115">
        <v>801</v>
      </c>
      <c r="C184" s="8" t="s">
        <v>223</v>
      </c>
      <c r="D184" s="8" t="s">
        <v>227</v>
      </c>
      <c r="E184" s="115" t="s">
        <v>85</v>
      </c>
      <c r="F184" s="115">
        <v>244</v>
      </c>
      <c r="G184" s="70">
        <v>215</v>
      </c>
      <c r="H184" s="70"/>
      <c r="I184" s="70">
        <f t="shared" si="44"/>
        <v>215</v>
      </c>
      <c r="J184" s="70"/>
      <c r="K184" s="87">
        <f t="shared" si="45"/>
        <v>215</v>
      </c>
      <c r="L184" s="13"/>
      <c r="M184" s="87">
        <f t="shared" si="41"/>
        <v>215</v>
      </c>
      <c r="N184" s="13"/>
      <c r="O184" s="87">
        <f t="shared" si="42"/>
        <v>215</v>
      </c>
      <c r="P184" s="13"/>
      <c r="Q184" s="87">
        <f t="shared" si="39"/>
        <v>215</v>
      </c>
      <c r="R184" s="13"/>
      <c r="S184" s="87">
        <f t="shared" si="40"/>
        <v>215</v>
      </c>
    </row>
    <row r="185" spans="1:19" s="91" customFormat="1" ht="33">
      <c r="A185" s="62" t="str">
        <f ca="1">IF(ISERROR(MATCH(E185,Код_КЦСР,0)),"",INDIRECT(ADDRESS(MATCH(E185,Код_КЦСР,0)+1,2,,,"КЦСР")))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85" s="115">
        <v>801</v>
      </c>
      <c r="C185" s="8" t="s">
        <v>223</v>
      </c>
      <c r="D185" s="8" t="s">
        <v>227</v>
      </c>
      <c r="E185" s="115" t="s">
        <v>107</v>
      </c>
      <c r="F185" s="115"/>
      <c r="G185" s="70">
        <f>G186+G195+G199+G202</f>
        <v>49441.6</v>
      </c>
      <c r="H185" s="70">
        <f>H186+H195+H199+H202</f>
        <v>0</v>
      </c>
      <c r="I185" s="70">
        <f t="shared" si="44"/>
        <v>49441.6</v>
      </c>
      <c r="J185" s="70">
        <f>J186+J195+J199+J202</f>
        <v>0</v>
      </c>
      <c r="K185" s="87">
        <f t="shared" si="45"/>
        <v>49441.6</v>
      </c>
      <c r="L185" s="13">
        <f>L186+L195+L199+L202</f>
        <v>-3424</v>
      </c>
      <c r="M185" s="87">
        <f t="shared" si="41"/>
        <v>46017.6</v>
      </c>
      <c r="N185" s="13">
        <f>N186+N195+N199+N202</f>
        <v>0</v>
      </c>
      <c r="O185" s="87">
        <f t="shared" si="42"/>
        <v>46017.6</v>
      </c>
      <c r="P185" s="13">
        <f>P186+P195+P199+P202</f>
        <v>0</v>
      </c>
      <c r="Q185" s="87">
        <f t="shared" si="39"/>
        <v>46017.6</v>
      </c>
      <c r="R185" s="13">
        <f>R186+R195+R199+R202</f>
        <v>80.1</v>
      </c>
      <c r="S185" s="87">
        <f t="shared" si="40"/>
        <v>46097.7</v>
      </c>
    </row>
    <row r="186" spans="1:19" s="91" customFormat="1" ht="47.45" customHeight="1">
      <c r="A186" s="62" t="str">
        <f ca="1">IF(ISERROR(MATCH(E186,Код_КЦСР,0)),"",INDIRECT(ADDRESS(MATCH(E186,Код_КЦСР,0)+1,2,,,"КЦСР")))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86" s="115">
        <v>801</v>
      </c>
      <c r="C186" s="8" t="s">
        <v>223</v>
      </c>
      <c r="D186" s="8" t="s">
        <v>227</v>
      </c>
      <c r="E186" s="115" t="s">
        <v>109</v>
      </c>
      <c r="F186" s="115"/>
      <c r="G186" s="70">
        <f>G187+G189</f>
        <v>881.7</v>
      </c>
      <c r="H186" s="70">
        <f>H187+H189</f>
        <v>0</v>
      </c>
      <c r="I186" s="70">
        <f t="shared" si="44"/>
        <v>881.7</v>
      </c>
      <c r="J186" s="70">
        <f>J187+J189+J192</f>
        <v>-653.3000000000001</v>
      </c>
      <c r="K186" s="87">
        <f t="shared" si="45"/>
        <v>228.39999999999998</v>
      </c>
      <c r="L186" s="13">
        <f>L187+L189+L192</f>
        <v>-44</v>
      </c>
      <c r="M186" s="87">
        <f t="shared" si="41"/>
        <v>184.39999999999998</v>
      </c>
      <c r="N186" s="13">
        <f>N187+N189+N192</f>
        <v>0</v>
      </c>
      <c r="O186" s="87">
        <f t="shared" si="42"/>
        <v>184.39999999999998</v>
      </c>
      <c r="P186" s="13">
        <f>P187+P189+P192</f>
        <v>0</v>
      </c>
      <c r="Q186" s="87">
        <f t="shared" si="39"/>
        <v>184.39999999999998</v>
      </c>
      <c r="R186" s="13">
        <f>R187+R189+R192</f>
        <v>0</v>
      </c>
      <c r="S186" s="87">
        <f t="shared" si="40"/>
        <v>184.39999999999998</v>
      </c>
    </row>
    <row r="187" spans="1:19" s="91" customFormat="1" ht="33" hidden="1">
      <c r="A187" s="62" t="str">
        <f aca="true" t="shared" si="49" ref="A187:A194">IF(ISERROR(MATCH(F187,Код_КВР,0)),"",INDIRECT(ADDRESS(MATCH(F187,Код_КВР,0)+1,2,,,"КВР")))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7" s="115">
        <v>801</v>
      </c>
      <c r="C187" s="8" t="s">
        <v>223</v>
      </c>
      <c r="D187" s="8" t="s">
        <v>227</v>
      </c>
      <c r="E187" s="115" t="s">
        <v>109</v>
      </c>
      <c r="F187" s="115">
        <v>100</v>
      </c>
      <c r="G187" s="70">
        <f>G188</f>
        <v>555</v>
      </c>
      <c r="H187" s="70">
        <f>H188</f>
        <v>0</v>
      </c>
      <c r="I187" s="70">
        <f t="shared" si="44"/>
        <v>555</v>
      </c>
      <c r="J187" s="70">
        <f>J188</f>
        <v>-555</v>
      </c>
      <c r="K187" s="87">
        <f t="shared" si="45"/>
        <v>0</v>
      </c>
      <c r="L187" s="13">
        <f>L188</f>
        <v>0</v>
      </c>
      <c r="M187" s="87">
        <f t="shared" si="41"/>
        <v>0</v>
      </c>
      <c r="N187" s="13">
        <f>N188</f>
        <v>0</v>
      </c>
      <c r="O187" s="87">
        <f t="shared" si="42"/>
        <v>0</v>
      </c>
      <c r="P187" s="13">
        <f>P188</f>
        <v>0</v>
      </c>
      <c r="Q187" s="87">
        <f t="shared" si="39"/>
        <v>0</v>
      </c>
      <c r="R187" s="13">
        <f>R188</f>
        <v>0</v>
      </c>
      <c r="S187" s="87">
        <f t="shared" si="40"/>
        <v>0</v>
      </c>
    </row>
    <row r="188" spans="1:19" s="91" customFormat="1" ht="12.75" hidden="1">
      <c r="A188" s="62" t="str">
        <f ca="1" t="shared" si="49"/>
        <v>Расходы на выплаты персоналу казенных учреждений</v>
      </c>
      <c r="B188" s="115">
        <v>801</v>
      </c>
      <c r="C188" s="8" t="s">
        <v>223</v>
      </c>
      <c r="D188" s="8" t="s">
        <v>227</v>
      </c>
      <c r="E188" s="115" t="s">
        <v>109</v>
      </c>
      <c r="F188" s="115">
        <v>110</v>
      </c>
      <c r="G188" s="70">
        <v>555</v>
      </c>
      <c r="H188" s="70"/>
      <c r="I188" s="70">
        <f t="shared" si="44"/>
        <v>555</v>
      </c>
      <c r="J188" s="70">
        <v>-555</v>
      </c>
      <c r="K188" s="87">
        <f t="shared" si="45"/>
        <v>0</v>
      </c>
      <c r="L188" s="13"/>
      <c r="M188" s="87">
        <f t="shared" si="41"/>
        <v>0</v>
      </c>
      <c r="N188" s="13"/>
      <c r="O188" s="87">
        <f t="shared" si="42"/>
        <v>0</v>
      </c>
      <c r="P188" s="13"/>
      <c r="Q188" s="87">
        <f t="shared" si="39"/>
        <v>0</v>
      </c>
      <c r="R188" s="13"/>
      <c r="S188" s="87">
        <f t="shared" si="40"/>
        <v>0</v>
      </c>
    </row>
    <row r="189" spans="1:19" s="91" customFormat="1" ht="12.75" hidden="1">
      <c r="A189" s="62" t="str">
        <f ca="1" t="shared" si="49"/>
        <v>Закупка товаров, работ и услуг для муниципальных нужд</v>
      </c>
      <c r="B189" s="115">
        <v>801</v>
      </c>
      <c r="C189" s="8" t="s">
        <v>223</v>
      </c>
      <c r="D189" s="8" t="s">
        <v>227</v>
      </c>
      <c r="E189" s="115" t="s">
        <v>109</v>
      </c>
      <c r="F189" s="115">
        <v>200</v>
      </c>
      <c r="G189" s="70">
        <f>G190</f>
        <v>326.7</v>
      </c>
      <c r="H189" s="70">
        <f>H190</f>
        <v>0</v>
      </c>
      <c r="I189" s="70">
        <f t="shared" si="44"/>
        <v>326.7</v>
      </c>
      <c r="J189" s="70">
        <f>J190</f>
        <v>-326.7</v>
      </c>
      <c r="K189" s="87">
        <f t="shared" si="45"/>
        <v>0</v>
      </c>
      <c r="L189" s="13">
        <f>L190</f>
        <v>0</v>
      </c>
      <c r="M189" s="87">
        <f t="shared" si="41"/>
        <v>0</v>
      </c>
      <c r="N189" s="13">
        <f>N190</f>
        <v>0</v>
      </c>
      <c r="O189" s="87">
        <f t="shared" si="42"/>
        <v>0</v>
      </c>
      <c r="P189" s="13">
        <f>P190</f>
        <v>0</v>
      </c>
      <c r="Q189" s="87">
        <f t="shared" si="39"/>
        <v>0</v>
      </c>
      <c r="R189" s="13">
        <f>R190</f>
        <v>0</v>
      </c>
      <c r="S189" s="87">
        <f t="shared" si="40"/>
        <v>0</v>
      </c>
    </row>
    <row r="190" spans="1:19" s="91" customFormat="1" ht="33" hidden="1">
      <c r="A190" s="62" t="str">
        <f ca="1" t="shared" si="49"/>
        <v>Иные закупки товаров, работ и услуг для обеспечения муниципальных нужд</v>
      </c>
      <c r="B190" s="115">
        <v>801</v>
      </c>
      <c r="C190" s="8" t="s">
        <v>223</v>
      </c>
      <c r="D190" s="8" t="s">
        <v>227</v>
      </c>
      <c r="E190" s="115" t="s">
        <v>109</v>
      </c>
      <c r="F190" s="115">
        <v>240</v>
      </c>
      <c r="G190" s="70">
        <f>G191</f>
        <v>326.7</v>
      </c>
      <c r="H190" s="70">
        <f>H191</f>
        <v>0</v>
      </c>
      <c r="I190" s="70">
        <f t="shared" si="44"/>
        <v>326.7</v>
      </c>
      <c r="J190" s="70">
        <f>J191</f>
        <v>-326.7</v>
      </c>
      <c r="K190" s="87">
        <f t="shared" si="45"/>
        <v>0</v>
      </c>
      <c r="L190" s="13">
        <f>L191</f>
        <v>0</v>
      </c>
      <c r="M190" s="87">
        <f t="shared" si="41"/>
        <v>0</v>
      </c>
      <c r="N190" s="13">
        <f>N191</f>
        <v>0</v>
      </c>
      <c r="O190" s="87">
        <f t="shared" si="42"/>
        <v>0</v>
      </c>
      <c r="P190" s="13">
        <f>P191</f>
        <v>0</v>
      </c>
      <c r="Q190" s="87">
        <f t="shared" si="39"/>
        <v>0</v>
      </c>
      <c r="R190" s="13">
        <f>R191</f>
        <v>0</v>
      </c>
      <c r="S190" s="87">
        <f t="shared" si="40"/>
        <v>0</v>
      </c>
    </row>
    <row r="191" spans="1:19" s="91" customFormat="1" ht="33" hidden="1">
      <c r="A191" s="62" t="str">
        <f ca="1" t="shared" si="49"/>
        <v xml:space="preserve">Прочая закупка товаров, работ и услуг для обеспечения муниципальных нужд         </v>
      </c>
      <c r="B191" s="115">
        <v>801</v>
      </c>
      <c r="C191" s="8" t="s">
        <v>223</v>
      </c>
      <c r="D191" s="8" t="s">
        <v>227</v>
      </c>
      <c r="E191" s="115" t="s">
        <v>109</v>
      </c>
      <c r="F191" s="115">
        <v>244</v>
      </c>
      <c r="G191" s="70">
        <v>326.7</v>
      </c>
      <c r="H191" s="70"/>
      <c r="I191" s="70">
        <f t="shared" si="44"/>
        <v>326.7</v>
      </c>
      <c r="J191" s="70">
        <v>-326.7</v>
      </c>
      <c r="K191" s="87">
        <f t="shared" si="45"/>
        <v>0</v>
      </c>
      <c r="L191" s="13"/>
      <c r="M191" s="87">
        <f t="shared" si="41"/>
        <v>0</v>
      </c>
      <c r="N191" s="13"/>
      <c r="O191" s="87">
        <f t="shared" si="42"/>
        <v>0</v>
      </c>
      <c r="P191" s="13"/>
      <c r="Q191" s="87">
        <f t="shared" si="39"/>
        <v>0</v>
      </c>
      <c r="R191" s="13"/>
      <c r="S191" s="87">
        <f t="shared" si="40"/>
        <v>0</v>
      </c>
    </row>
    <row r="192" spans="1:19" s="91" customFormat="1" ht="33">
      <c r="A192" s="62" t="str">
        <f ca="1" t="shared" si="49"/>
        <v>Предоставление субсидий бюджетным, автономным учреждениям и иным некоммерческим организациям</v>
      </c>
      <c r="B192" s="115">
        <v>801</v>
      </c>
      <c r="C192" s="8" t="s">
        <v>223</v>
      </c>
      <c r="D192" s="8" t="s">
        <v>227</v>
      </c>
      <c r="E192" s="115" t="s">
        <v>109</v>
      </c>
      <c r="F192" s="115">
        <v>600</v>
      </c>
      <c r="G192" s="70"/>
      <c r="H192" s="70"/>
      <c r="I192" s="70"/>
      <c r="J192" s="70">
        <f>J193</f>
        <v>228.4</v>
      </c>
      <c r="K192" s="87">
        <f t="shared" si="45"/>
        <v>228.4</v>
      </c>
      <c r="L192" s="13">
        <f>L193</f>
        <v>-44</v>
      </c>
      <c r="M192" s="87">
        <f t="shared" si="41"/>
        <v>184.4</v>
      </c>
      <c r="N192" s="13">
        <f>N193</f>
        <v>0</v>
      </c>
      <c r="O192" s="87">
        <f t="shared" si="42"/>
        <v>184.4</v>
      </c>
      <c r="P192" s="13">
        <f>P193</f>
        <v>0</v>
      </c>
      <c r="Q192" s="87">
        <f t="shared" si="39"/>
        <v>184.4</v>
      </c>
      <c r="R192" s="13">
        <f>R193</f>
        <v>0</v>
      </c>
      <c r="S192" s="87">
        <f t="shared" si="40"/>
        <v>184.4</v>
      </c>
    </row>
    <row r="193" spans="1:19" s="91" customFormat="1" ht="12.75">
      <c r="A193" s="62" t="str">
        <f ca="1" t="shared" si="49"/>
        <v>Субсидии бюджетным учреждениям</v>
      </c>
      <c r="B193" s="115">
        <v>801</v>
      </c>
      <c r="C193" s="8" t="s">
        <v>223</v>
      </c>
      <c r="D193" s="8" t="s">
        <v>227</v>
      </c>
      <c r="E193" s="115" t="s">
        <v>109</v>
      </c>
      <c r="F193" s="115">
        <v>610</v>
      </c>
      <c r="G193" s="70"/>
      <c r="H193" s="70"/>
      <c r="I193" s="70"/>
      <c r="J193" s="70">
        <f>J194</f>
        <v>228.4</v>
      </c>
      <c r="K193" s="87">
        <f t="shared" si="45"/>
        <v>228.4</v>
      </c>
      <c r="L193" s="13">
        <f>L194</f>
        <v>-44</v>
      </c>
      <c r="M193" s="87">
        <f t="shared" si="41"/>
        <v>184.4</v>
      </c>
      <c r="N193" s="13">
        <f>N194</f>
        <v>0</v>
      </c>
      <c r="O193" s="87">
        <f t="shared" si="42"/>
        <v>184.4</v>
      </c>
      <c r="P193" s="13">
        <f>P194</f>
        <v>0</v>
      </c>
      <c r="Q193" s="87">
        <f t="shared" si="39"/>
        <v>184.4</v>
      </c>
      <c r="R193" s="13">
        <f>R194</f>
        <v>0</v>
      </c>
      <c r="S193" s="87">
        <f t="shared" si="40"/>
        <v>184.4</v>
      </c>
    </row>
    <row r="194" spans="1:19" s="91" customFormat="1" ht="12.75">
      <c r="A194" s="62" t="str">
        <f ca="1" t="shared" si="49"/>
        <v>Субсидии бюджетным учреждениям на иные цели</v>
      </c>
      <c r="B194" s="115">
        <v>801</v>
      </c>
      <c r="C194" s="8" t="s">
        <v>223</v>
      </c>
      <c r="D194" s="8" t="s">
        <v>227</v>
      </c>
      <c r="E194" s="115" t="s">
        <v>109</v>
      </c>
      <c r="F194" s="115">
        <v>612</v>
      </c>
      <c r="G194" s="70"/>
      <c r="H194" s="70"/>
      <c r="I194" s="70"/>
      <c r="J194" s="70">
        <v>228.4</v>
      </c>
      <c r="K194" s="87">
        <f t="shared" si="45"/>
        <v>228.4</v>
      </c>
      <c r="L194" s="13">
        <v>-44</v>
      </c>
      <c r="M194" s="87">
        <f t="shared" si="41"/>
        <v>184.4</v>
      </c>
      <c r="N194" s="13"/>
      <c r="O194" s="87">
        <f t="shared" si="42"/>
        <v>184.4</v>
      </c>
      <c r="P194" s="13"/>
      <c r="Q194" s="87">
        <f t="shared" si="39"/>
        <v>184.4</v>
      </c>
      <c r="R194" s="13"/>
      <c r="S194" s="87">
        <f t="shared" si="40"/>
        <v>184.4</v>
      </c>
    </row>
    <row r="195" spans="1:19" s="91" customFormat="1" ht="12.75">
      <c r="A195" s="62" t="str">
        <f ca="1">IF(ISERROR(MATCH(E195,Код_КЦСР,0)),"",INDIRECT(ADDRESS(MATCH(E195,Код_КЦСР,0)+1,2,,,"КЦСР")))</f>
        <v>Приобретение лицензионного ПО, Крипто ПРО с лицензией СЭД</v>
      </c>
      <c r="B195" s="115">
        <v>801</v>
      </c>
      <c r="C195" s="8" t="s">
        <v>223</v>
      </c>
      <c r="D195" s="8" t="s">
        <v>227</v>
      </c>
      <c r="E195" s="115" t="s">
        <v>110</v>
      </c>
      <c r="F195" s="115"/>
      <c r="G195" s="70">
        <f aca="true" t="shared" si="50" ref="G195:R197">G196</f>
        <v>354.6</v>
      </c>
      <c r="H195" s="70">
        <f t="shared" si="50"/>
        <v>0</v>
      </c>
      <c r="I195" s="70">
        <f t="shared" si="44"/>
        <v>354.6</v>
      </c>
      <c r="J195" s="70">
        <f t="shared" si="50"/>
        <v>0</v>
      </c>
      <c r="K195" s="87">
        <f t="shared" si="45"/>
        <v>354.6</v>
      </c>
      <c r="L195" s="13">
        <f t="shared" si="50"/>
        <v>-169.8</v>
      </c>
      <c r="M195" s="87">
        <f t="shared" si="41"/>
        <v>184.8</v>
      </c>
      <c r="N195" s="13">
        <f t="shared" si="50"/>
        <v>0</v>
      </c>
      <c r="O195" s="87">
        <f t="shared" si="42"/>
        <v>184.8</v>
      </c>
      <c r="P195" s="13">
        <f t="shared" si="50"/>
        <v>0</v>
      </c>
      <c r="Q195" s="87">
        <f t="shared" si="39"/>
        <v>184.8</v>
      </c>
      <c r="R195" s="13">
        <f t="shared" si="50"/>
        <v>0</v>
      </c>
      <c r="S195" s="87">
        <f t="shared" si="40"/>
        <v>184.8</v>
      </c>
    </row>
    <row r="196" spans="1:19" s="91" customFormat="1" ht="12.75">
      <c r="A196" s="62" t="str">
        <f ca="1">IF(ISERROR(MATCH(F196,Код_КВР,0)),"",INDIRECT(ADDRESS(MATCH(F196,Код_КВР,0)+1,2,,,"КВР")))</f>
        <v>Закупка товаров, работ и услуг для муниципальных нужд</v>
      </c>
      <c r="B196" s="115">
        <v>801</v>
      </c>
      <c r="C196" s="8" t="s">
        <v>223</v>
      </c>
      <c r="D196" s="8" t="s">
        <v>227</v>
      </c>
      <c r="E196" s="115" t="s">
        <v>110</v>
      </c>
      <c r="F196" s="115">
        <v>200</v>
      </c>
      <c r="G196" s="70">
        <f t="shared" si="50"/>
        <v>354.6</v>
      </c>
      <c r="H196" s="70">
        <f t="shared" si="50"/>
        <v>0</v>
      </c>
      <c r="I196" s="70">
        <f t="shared" si="44"/>
        <v>354.6</v>
      </c>
      <c r="J196" s="70">
        <f t="shared" si="50"/>
        <v>0</v>
      </c>
      <c r="K196" s="87">
        <f t="shared" si="45"/>
        <v>354.6</v>
      </c>
      <c r="L196" s="13">
        <f t="shared" si="50"/>
        <v>-169.8</v>
      </c>
      <c r="M196" s="87">
        <f t="shared" si="41"/>
        <v>184.8</v>
      </c>
      <c r="N196" s="13">
        <f t="shared" si="50"/>
        <v>0</v>
      </c>
      <c r="O196" s="87">
        <f t="shared" si="42"/>
        <v>184.8</v>
      </c>
      <c r="P196" s="13">
        <f t="shared" si="50"/>
        <v>0</v>
      </c>
      <c r="Q196" s="87">
        <f t="shared" si="39"/>
        <v>184.8</v>
      </c>
      <c r="R196" s="13">
        <f t="shared" si="50"/>
        <v>0</v>
      </c>
      <c r="S196" s="87">
        <f t="shared" si="40"/>
        <v>184.8</v>
      </c>
    </row>
    <row r="197" spans="1:19" s="91" customFormat="1" ht="33">
      <c r="A197" s="62" t="str">
        <f ca="1">IF(ISERROR(MATCH(F197,Код_КВР,0)),"",INDIRECT(ADDRESS(MATCH(F197,Код_КВР,0)+1,2,,,"КВР")))</f>
        <v>Иные закупки товаров, работ и услуг для обеспечения муниципальных нужд</v>
      </c>
      <c r="B197" s="115">
        <v>801</v>
      </c>
      <c r="C197" s="8" t="s">
        <v>223</v>
      </c>
      <c r="D197" s="8" t="s">
        <v>227</v>
      </c>
      <c r="E197" s="115" t="s">
        <v>110</v>
      </c>
      <c r="F197" s="115">
        <v>240</v>
      </c>
      <c r="G197" s="70">
        <f t="shared" si="50"/>
        <v>354.6</v>
      </c>
      <c r="H197" s="70">
        <f t="shared" si="50"/>
        <v>0</v>
      </c>
      <c r="I197" s="70">
        <f t="shared" si="44"/>
        <v>354.6</v>
      </c>
      <c r="J197" s="70">
        <f t="shared" si="50"/>
        <v>0</v>
      </c>
      <c r="K197" s="87">
        <f t="shared" si="45"/>
        <v>354.6</v>
      </c>
      <c r="L197" s="13">
        <f t="shared" si="50"/>
        <v>-169.8</v>
      </c>
      <c r="M197" s="87">
        <f t="shared" si="41"/>
        <v>184.8</v>
      </c>
      <c r="N197" s="13">
        <f t="shared" si="50"/>
        <v>0</v>
      </c>
      <c r="O197" s="87">
        <f t="shared" si="42"/>
        <v>184.8</v>
      </c>
      <c r="P197" s="13">
        <f t="shared" si="50"/>
        <v>0</v>
      </c>
      <c r="Q197" s="87">
        <f t="shared" si="39"/>
        <v>184.8</v>
      </c>
      <c r="R197" s="13">
        <f t="shared" si="50"/>
        <v>0</v>
      </c>
      <c r="S197" s="87">
        <f t="shared" si="40"/>
        <v>184.8</v>
      </c>
    </row>
    <row r="198" spans="1:19" s="91" customFormat="1" ht="33">
      <c r="A198" s="62" t="str">
        <f ca="1">IF(ISERROR(MATCH(F198,Код_КВР,0)),"",INDIRECT(ADDRESS(MATCH(F198,Код_КВР,0)+1,2,,,"КВР")))</f>
        <v xml:space="preserve">Прочая закупка товаров, работ и услуг для обеспечения муниципальных нужд         </v>
      </c>
      <c r="B198" s="115">
        <v>801</v>
      </c>
      <c r="C198" s="8" t="s">
        <v>223</v>
      </c>
      <c r="D198" s="8" t="s">
        <v>227</v>
      </c>
      <c r="E198" s="115" t="s">
        <v>110</v>
      </c>
      <c r="F198" s="115">
        <v>244</v>
      </c>
      <c r="G198" s="70">
        <v>354.6</v>
      </c>
      <c r="H198" s="70"/>
      <c r="I198" s="70">
        <f t="shared" si="44"/>
        <v>354.6</v>
      </c>
      <c r="J198" s="70"/>
      <c r="K198" s="87">
        <f t="shared" si="45"/>
        <v>354.6</v>
      </c>
      <c r="L198" s="13">
        <v>-169.8</v>
      </c>
      <c r="M198" s="87">
        <f t="shared" si="41"/>
        <v>184.8</v>
      </c>
      <c r="N198" s="13"/>
      <c r="O198" s="87">
        <f t="shared" si="42"/>
        <v>184.8</v>
      </c>
      <c r="P198" s="13"/>
      <c r="Q198" s="87">
        <f t="shared" si="39"/>
        <v>184.8</v>
      </c>
      <c r="R198" s="13"/>
      <c r="S198" s="87">
        <f t="shared" si="40"/>
        <v>184.8</v>
      </c>
    </row>
    <row r="199" spans="1:19" s="91" customFormat="1" ht="33" hidden="1">
      <c r="A199" s="62" t="str">
        <f ca="1">IF(ISERROR(MATCH(E199,Код_КЦСР,0)),"",INDIRECT(ADDRESS(MATCH(E199,Код_КЦСР,0)+1,2,,,"КЦСР")))</f>
        <v>Минимизация последствий от ЧС на опасных производственных объектах экономики (ОПОЭ)</v>
      </c>
      <c r="B199" s="115">
        <v>801</v>
      </c>
      <c r="C199" s="8" t="s">
        <v>223</v>
      </c>
      <c r="D199" s="8" t="s">
        <v>227</v>
      </c>
      <c r="E199" s="115" t="s">
        <v>123</v>
      </c>
      <c r="F199" s="115"/>
      <c r="G199" s="70">
        <f>G200</f>
        <v>1559.6</v>
      </c>
      <c r="H199" s="70">
        <f>H200</f>
        <v>0</v>
      </c>
      <c r="I199" s="70">
        <f t="shared" si="44"/>
        <v>1559.6</v>
      </c>
      <c r="J199" s="70">
        <f>J200</f>
        <v>0</v>
      </c>
      <c r="K199" s="87">
        <f t="shared" si="45"/>
        <v>1559.6</v>
      </c>
      <c r="L199" s="13">
        <f>L200</f>
        <v>-1559.6</v>
      </c>
      <c r="M199" s="87">
        <f t="shared" si="41"/>
        <v>0</v>
      </c>
      <c r="N199" s="13">
        <f>N200</f>
        <v>0</v>
      </c>
      <c r="O199" s="87">
        <f t="shared" si="42"/>
        <v>0</v>
      </c>
      <c r="P199" s="13">
        <f>P200</f>
        <v>0</v>
      </c>
      <c r="Q199" s="87">
        <f t="shared" si="39"/>
        <v>0</v>
      </c>
      <c r="R199" s="13">
        <f>R200</f>
        <v>0</v>
      </c>
      <c r="S199" s="87">
        <f t="shared" si="40"/>
        <v>0</v>
      </c>
    </row>
    <row r="200" spans="1:19" s="91" customFormat="1" ht="33" hidden="1">
      <c r="A200" s="62" t="str">
        <f ca="1">IF(ISERROR(MATCH(F200,Код_КВР,0)),"",INDIRECT(ADDRESS(MATCH(F200,Код_КВР,0)+1,2,,,"КВР")))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0" s="115">
        <v>801</v>
      </c>
      <c r="C200" s="8" t="s">
        <v>223</v>
      </c>
      <c r="D200" s="8" t="s">
        <v>227</v>
      </c>
      <c r="E200" s="115" t="s">
        <v>123</v>
      </c>
      <c r="F200" s="115">
        <v>100</v>
      </c>
      <c r="G200" s="70">
        <f>G201</f>
        <v>1559.6</v>
      </c>
      <c r="H200" s="70">
        <f>H201</f>
        <v>0</v>
      </c>
      <c r="I200" s="70">
        <f t="shared" si="44"/>
        <v>1559.6</v>
      </c>
      <c r="J200" s="70">
        <f>J201</f>
        <v>0</v>
      </c>
      <c r="K200" s="87">
        <f t="shared" si="45"/>
        <v>1559.6</v>
      </c>
      <c r="L200" s="13">
        <f>L201</f>
        <v>-1559.6</v>
      </c>
      <c r="M200" s="87">
        <f t="shared" si="41"/>
        <v>0</v>
      </c>
      <c r="N200" s="13">
        <f>N201</f>
        <v>0</v>
      </c>
      <c r="O200" s="87">
        <f t="shared" si="42"/>
        <v>0</v>
      </c>
      <c r="P200" s="13">
        <f>P201</f>
        <v>0</v>
      </c>
      <c r="Q200" s="87">
        <f t="shared" si="39"/>
        <v>0</v>
      </c>
      <c r="R200" s="13">
        <f>R201</f>
        <v>0</v>
      </c>
      <c r="S200" s="87">
        <f t="shared" si="40"/>
        <v>0</v>
      </c>
    </row>
    <row r="201" spans="1:19" s="91" customFormat="1" ht="27.2" customHeight="1" hidden="1">
      <c r="A201" s="62" t="str">
        <f ca="1">IF(ISERROR(MATCH(F201,Код_КВР,0)),"",INDIRECT(ADDRESS(MATCH(F201,Код_КВР,0)+1,2,,,"КВР")))</f>
        <v>Расходы на выплаты персоналу казенных учреждений</v>
      </c>
      <c r="B201" s="115">
        <v>801</v>
      </c>
      <c r="C201" s="8" t="s">
        <v>223</v>
      </c>
      <c r="D201" s="8" t="s">
        <v>227</v>
      </c>
      <c r="E201" s="115" t="s">
        <v>123</v>
      </c>
      <c r="F201" s="115">
        <v>110</v>
      </c>
      <c r="G201" s="70">
        <v>1559.6</v>
      </c>
      <c r="H201" s="70"/>
      <c r="I201" s="70">
        <f t="shared" si="44"/>
        <v>1559.6</v>
      </c>
      <c r="J201" s="70"/>
      <c r="K201" s="87">
        <f t="shared" si="45"/>
        <v>1559.6</v>
      </c>
      <c r="L201" s="13">
        <v>-1559.6</v>
      </c>
      <c r="M201" s="87">
        <f t="shared" si="41"/>
        <v>0</v>
      </c>
      <c r="N201" s="13"/>
      <c r="O201" s="87">
        <f t="shared" si="42"/>
        <v>0</v>
      </c>
      <c r="P201" s="13"/>
      <c r="Q201" s="87">
        <f t="shared" si="39"/>
        <v>0</v>
      </c>
      <c r="R201" s="13"/>
      <c r="S201" s="87">
        <f t="shared" si="40"/>
        <v>0</v>
      </c>
    </row>
    <row r="202" spans="1:19" s="91" customFormat="1" ht="12.75">
      <c r="A202" s="62" t="str">
        <f ca="1">IF(ISERROR(MATCH(E202,Код_КЦСР,0)),"",INDIRECT(ADDRESS(MATCH(E202,Код_КЦСР,0)+1,2,,,"КЦСР")))</f>
        <v xml:space="preserve">Обеспечение создания условий для реализации подпрограммы 2 </v>
      </c>
      <c r="B202" s="115">
        <v>801</v>
      </c>
      <c r="C202" s="8" t="s">
        <v>223</v>
      </c>
      <c r="D202" s="8" t="s">
        <v>227</v>
      </c>
      <c r="E202" s="115" t="s">
        <v>125</v>
      </c>
      <c r="F202" s="115"/>
      <c r="G202" s="70">
        <f>G203+G205+G211</f>
        <v>46645.7</v>
      </c>
      <c r="H202" s="70">
        <f>H203+H205+H211</f>
        <v>0</v>
      </c>
      <c r="I202" s="70">
        <f t="shared" si="44"/>
        <v>46645.7</v>
      </c>
      <c r="J202" s="70">
        <f>J203+J205+J211+J208</f>
        <v>653.2999999999993</v>
      </c>
      <c r="K202" s="87">
        <f t="shared" si="45"/>
        <v>47299</v>
      </c>
      <c r="L202" s="13">
        <f>L203+L205+L211+L208</f>
        <v>-1650.6000000000001</v>
      </c>
      <c r="M202" s="87">
        <f t="shared" si="41"/>
        <v>45648.4</v>
      </c>
      <c r="N202" s="13">
        <f>N203+N205+N211+N208</f>
        <v>0</v>
      </c>
      <c r="O202" s="87">
        <f t="shared" si="42"/>
        <v>45648.4</v>
      </c>
      <c r="P202" s="13">
        <f>P203+P205+P211+P208</f>
        <v>0</v>
      </c>
      <c r="Q202" s="87">
        <f t="shared" si="39"/>
        <v>45648.4</v>
      </c>
      <c r="R202" s="13">
        <f>R203+R205+R211+R208</f>
        <v>80.1</v>
      </c>
      <c r="S202" s="87">
        <f t="shared" si="40"/>
        <v>45728.5</v>
      </c>
    </row>
    <row r="203" spans="1:19" s="91" customFormat="1" ht="33">
      <c r="A203" s="62" t="str">
        <f aca="true" t="shared" si="51" ref="A203:A212">IF(ISERROR(MATCH(F203,Код_КВР,0)),"",INDIRECT(ADDRESS(MATCH(F203,Код_КВР,0)+1,2,,,"КВР")))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3" s="115">
        <v>801</v>
      </c>
      <c r="C203" s="8" t="s">
        <v>223</v>
      </c>
      <c r="D203" s="8" t="s">
        <v>227</v>
      </c>
      <c r="E203" s="115" t="s">
        <v>125</v>
      </c>
      <c r="F203" s="115">
        <v>100</v>
      </c>
      <c r="G203" s="70">
        <f>G204</f>
        <v>38954.9</v>
      </c>
      <c r="H203" s="70">
        <f>H204</f>
        <v>0</v>
      </c>
      <c r="I203" s="70">
        <f t="shared" si="44"/>
        <v>38954.9</v>
      </c>
      <c r="J203" s="70">
        <f>J204</f>
        <v>-15942.2</v>
      </c>
      <c r="K203" s="87">
        <f t="shared" si="45"/>
        <v>23012.7</v>
      </c>
      <c r="L203" s="13">
        <f>L204</f>
        <v>0</v>
      </c>
      <c r="M203" s="87">
        <f t="shared" si="41"/>
        <v>23012.7</v>
      </c>
      <c r="N203" s="13">
        <f>N204</f>
        <v>0</v>
      </c>
      <c r="O203" s="87">
        <f t="shared" si="42"/>
        <v>23012.7</v>
      </c>
      <c r="P203" s="13">
        <f>P204</f>
        <v>0</v>
      </c>
      <c r="Q203" s="87">
        <f t="shared" si="39"/>
        <v>23012.7</v>
      </c>
      <c r="R203" s="13">
        <f>R204</f>
        <v>-238</v>
      </c>
      <c r="S203" s="87">
        <f t="shared" si="40"/>
        <v>22774.7</v>
      </c>
    </row>
    <row r="204" spans="1:19" s="91" customFormat="1" ht="12.75">
      <c r="A204" s="62" t="str">
        <f ca="1" t="shared" si="51"/>
        <v>Расходы на выплаты персоналу казенных учреждений</v>
      </c>
      <c r="B204" s="115">
        <v>801</v>
      </c>
      <c r="C204" s="8" t="s">
        <v>223</v>
      </c>
      <c r="D204" s="8" t="s">
        <v>227</v>
      </c>
      <c r="E204" s="115" t="s">
        <v>125</v>
      </c>
      <c r="F204" s="115">
        <v>110</v>
      </c>
      <c r="G204" s="70">
        <v>38954.9</v>
      </c>
      <c r="H204" s="70"/>
      <c r="I204" s="70">
        <f t="shared" si="44"/>
        <v>38954.9</v>
      </c>
      <c r="J204" s="70">
        <v>-15942.2</v>
      </c>
      <c r="K204" s="87">
        <f t="shared" si="45"/>
        <v>23012.7</v>
      </c>
      <c r="L204" s="13"/>
      <c r="M204" s="87">
        <f t="shared" si="41"/>
        <v>23012.7</v>
      </c>
      <c r="N204" s="13"/>
      <c r="O204" s="87">
        <f t="shared" si="42"/>
        <v>23012.7</v>
      </c>
      <c r="P204" s="13"/>
      <c r="Q204" s="87">
        <f t="shared" si="39"/>
        <v>23012.7</v>
      </c>
      <c r="R204" s="13">
        <f>-222.6-0.9-14.5</f>
        <v>-238</v>
      </c>
      <c r="S204" s="87">
        <f t="shared" si="40"/>
        <v>22774.7</v>
      </c>
    </row>
    <row r="205" spans="1:19" s="91" customFormat="1" ht="12.75">
      <c r="A205" s="62" t="str">
        <f ca="1" t="shared" si="51"/>
        <v>Закупка товаров, работ и услуг для муниципальных нужд</v>
      </c>
      <c r="B205" s="115">
        <v>801</v>
      </c>
      <c r="C205" s="8" t="s">
        <v>223</v>
      </c>
      <c r="D205" s="8" t="s">
        <v>227</v>
      </c>
      <c r="E205" s="115" t="s">
        <v>125</v>
      </c>
      <c r="F205" s="115">
        <v>200</v>
      </c>
      <c r="G205" s="70">
        <f>G206</f>
        <v>6568.2</v>
      </c>
      <c r="H205" s="70">
        <f>H206</f>
        <v>0</v>
      </c>
      <c r="I205" s="70">
        <f t="shared" si="44"/>
        <v>6568.2</v>
      </c>
      <c r="J205" s="70">
        <f>J206</f>
        <v>-1391.1</v>
      </c>
      <c r="K205" s="87">
        <f t="shared" si="45"/>
        <v>5177.1</v>
      </c>
      <c r="L205" s="13">
        <f>L206</f>
        <v>-1650.6000000000001</v>
      </c>
      <c r="M205" s="87">
        <f t="shared" si="41"/>
        <v>3526.5</v>
      </c>
      <c r="N205" s="13">
        <f>N206</f>
        <v>0</v>
      </c>
      <c r="O205" s="87">
        <f t="shared" si="42"/>
        <v>3526.5</v>
      </c>
      <c r="P205" s="13">
        <f>P206</f>
        <v>0</v>
      </c>
      <c r="Q205" s="87">
        <f t="shared" si="39"/>
        <v>3526.5</v>
      </c>
      <c r="R205" s="13">
        <f>R206</f>
        <v>238</v>
      </c>
      <c r="S205" s="87">
        <f t="shared" si="40"/>
        <v>3764.5</v>
      </c>
    </row>
    <row r="206" spans="1:19" s="91" customFormat="1" ht="33">
      <c r="A206" s="62" t="str">
        <f ca="1" t="shared" si="51"/>
        <v>Иные закупки товаров, работ и услуг для обеспечения муниципальных нужд</v>
      </c>
      <c r="B206" s="115">
        <v>801</v>
      </c>
      <c r="C206" s="8" t="s">
        <v>223</v>
      </c>
      <c r="D206" s="8" t="s">
        <v>227</v>
      </c>
      <c r="E206" s="115" t="s">
        <v>125</v>
      </c>
      <c r="F206" s="115">
        <v>240</v>
      </c>
      <c r="G206" s="70">
        <f>G207</f>
        <v>6568.2</v>
      </c>
      <c r="H206" s="70">
        <f>H207</f>
        <v>0</v>
      </c>
      <c r="I206" s="70">
        <f t="shared" si="44"/>
        <v>6568.2</v>
      </c>
      <c r="J206" s="70">
        <f>J207</f>
        <v>-1391.1</v>
      </c>
      <c r="K206" s="87">
        <f t="shared" si="45"/>
        <v>5177.1</v>
      </c>
      <c r="L206" s="13">
        <f>L207</f>
        <v>-1650.6000000000001</v>
      </c>
      <c r="M206" s="87">
        <f t="shared" si="41"/>
        <v>3526.5</v>
      </c>
      <c r="N206" s="13">
        <f>N207</f>
        <v>0</v>
      </c>
      <c r="O206" s="87">
        <f t="shared" si="42"/>
        <v>3526.5</v>
      </c>
      <c r="P206" s="13">
        <f>P207</f>
        <v>0</v>
      </c>
      <c r="Q206" s="87">
        <f t="shared" si="39"/>
        <v>3526.5</v>
      </c>
      <c r="R206" s="13">
        <f>R207</f>
        <v>238</v>
      </c>
      <c r="S206" s="87">
        <f t="shared" si="40"/>
        <v>3764.5</v>
      </c>
    </row>
    <row r="207" spans="1:19" s="91" customFormat="1" ht="33">
      <c r="A207" s="62" t="str">
        <f ca="1" t="shared" si="51"/>
        <v xml:space="preserve">Прочая закупка товаров, работ и услуг для обеспечения муниципальных нужд         </v>
      </c>
      <c r="B207" s="115">
        <v>801</v>
      </c>
      <c r="C207" s="8" t="s">
        <v>223</v>
      </c>
      <c r="D207" s="8" t="s">
        <v>227</v>
      </c>
      <c r="E207" s="115" t="s">
        <v>125</v>
      </c>
      <c r="F207" s="115">
        <v>244</v>
      </c>
      <c r="G207" s="70">
        <v>6568.2</v>
      </c>
      <c r="H207" s="70"/>
      <c r="I207" s="70">
        <f t="shared" si="44"/>
        <v>6568.2</v>
      </c>
      <c r="J207" s="70">
        <f>-1368.8-22.3</f>
        <v>-1391.1</v>
      </c>
      <c r="K207" s="87">
        <f t="shared" si="45"/>
        <v>5177.1</v>
      </c>
      <c r="L207" s="13">
        <f>-20.4-1630.2</f>
        <v>-1650.6000000000001</v>
      </c>
      <c r="M207" s="87">
        <f t="shared" si="41"/>
        <v>3526.5</v>
      </c>
      <c r="N207" s="13"/>
      <c r="O207" s="87">
        <f t="shared" si="42"/>
        <v>3526.5</v>
      </c>
      <c r="P207" s="13"/>
      <c r="Q207" s="87">
        <f t="shared" si="39"/>
        <v>3526.5</v>
      </c>
      <c r="R207" s="13">
        <v>238</v>
      </c>
      <c r="S207" s="87">
        <f t="shared" si="40"/>
        <v>3764.5</v>
      </c>
    </row>
    <row r="208" spans="1:19" s="91" customFormat="1" ht="33">
      <c r="A208" s="62" t="str">
        <f aca="true" t="shared" si="52" ref="A208:A210">IF(ISERROR(MATCH(F208,Код_КВР,0)),"",INDIRECT(ADDRESS(MATCH(F208,Код_КВР,0)+1,2,,,"КВР")))</f>
        <v>Предоставление субсидий бюджетным, автономным учреждениям и иным некоммерческим организациям</v>
      </c>
      <c r="B208" s="115">
        <v>801</v>
      </c>
      <c r="C208" s="8" t="s">
        <v>223</v>
      </c>
      <c r="D208" s="8" t="s">
        <v>227</v>
      </c>
      <c r="E208" s="115" t="s">
        <v>125</v>
      </c>
      <c r="F208" s="115">
        <v>600</v>
      </c>
      <c r="G208" s="70"/>
      <c r="H208" s="70"/>
      <c r="I208" s="70"/>
      <c r="J208" s="70">
        <f>J209</f>
        <v>18250.1</v>
      </c>
      <c r="K208" s="87">
        <f t="shared" si="45"/>
        <v>18250.1</v>
      </c>
      <c r="L208" s="13">
        <f>L209</f>
        <v>0</v>
      </c>
      <c r="M208" s="87">
        <f t="shared" si="41"/>
        <v>18250.1</v>
      </c>
      <c r="N208" s="13">
        <f>N209</f>
        <v>0</v>
      </c>
      <c r="O208" s="87">
        <f t="shared" si="42"/>
        <v>18250.1</v>
      </c>
      <c r="P208" s="13">
        <f>P209</f>
        <v>0</v>
      </c>
      <c r="Q208" s="87">
        <f t="shared" si="39"/>
        <v>18250.1</v>
      </c>
      <c r="R208" s="13">
        <f>R209</f>
        <v>68.69999999999999</v>
      </c>
      <c r="S208" s="87">
        <f t="shared" si="40"/>
        <v>18318.8</v>
      </c>
    </row>
    <row r="209" spans="1:19" s="91" customFormat="1" ht="12.75">
      <c r="A209" s="62" t="str">
        <f ca="1" t="shared" si="52"/>
        <v>Субсидии бюджетным учреждениям</v>
      </c>
      <c r="B209" s="115">
        <v>801</v>
      </c>
      <c r="C209" s="8" t="s">
        <v>223</v>
      </c>
      <c r="D209" s="8" t="s">
        <v>227</v>
      </c>
      <c r="E209" s="115" t="s">
        <v>125</v>
      </c>
      <c r="F209" s="115">
        <v>610</v>
      </c>
      <c r="G209" s="70"/>
      <c r="H209" s="70"/>
      <c r="I209" s="70"/>
      <c r="J209" s="70">
        <f>J210</f>
        <v>18250.1</v>
      </c>
      <c r="K209" s="87">
        <f t="shared" si="45"/>
        <v>18250.1</v>
      </c>
      <c r="L209" s="13">
        <f>L210</f>
        <v>0</v>
      </c>
      <c r="M209" s="87">
        <f t="shared" si="41"/>
        <v>18250.1</v>
      </c>
      <c r="N209" s="13">
        <f>N210</f>
        <v>0</v>
      </c>
      <c r="O209" s="87">
        <f t="shared" si="42"/>
        <v>18250.1</v>
      </c>
      <c r="P209" s="13">
        <f>P210</f>
        <v>0</v>
      </c>
      <c r="Q209" s="87">
        <f t="shared" si="39"/>
        <v>18250.1</v>
      </c>
      <c r="R209" s="13">
        <f>R210</f>
        <v>68.69999999999999</v>
      </c>
      <c r="S209" s="87">
        <f t="shared" si="40"/>
        <v>18318.8</v>
      </c>
    </row>
    <row r="210" spans="1:19" s="91" customFormat="1" ht="49.5">
      <c r="A210" s="62" t="str">
        <f ca="1" t="shared" si="5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0" s="115">
        <v>801</v>
      </c>
      <c r="C210" s="8" t="s">
        <v>223</v>
      </c>
      <c r="D210" s="8" t="s">
        <v>227</v>
      </c>
      <c r="E210" s="115" t="s">
        <v>125</v>
      </c>
      <c r="F210" s="115">
        <v>611</v>
      </c>
      <c r="G210" s="70"/>
      <c r="H210" s="70"/>
      <c r="I210" s="70"/>
      <c r="J210" s="70">
        <v>18250.1</v>
      </c>
      <c r="K210" s="87">
        <f t="shared" si="45"/>
        <v>18250.1</v>
      </c>
      <c r="L210" s="13"/>
      <c r="M210" s="87">
        <f t="shared" si="41"/>
        <v>18250.1</v>
      </c>
      <c r="N210" s="13"/>
      <c r="O210" s="87">
        <f t="shared" si="42"/>
        <v>18250.1</v>
      </c>
      <c r="P210" s="13"/>
      <c r="Q210" s="87">
        <f t="shared" si="39"/>
        <v>18250.1</v>
      </c>
      <c r="R210" s="13">
        <f>-11.4+80.1</f>
        <v>68.69999999999999</v>
      </c>
      <c r="S210" s="87">
        <f t="shared" si="40"/>
        <v>18318.8</v>
      </c>
    </row>
    <row r="211" spans="1:19" s="91" customFormat="1" ht="12.75">
      <c r="A211" s="62" t="str">
        <f ca="1" t="shared" si="51"/>
        <v>Иные бюджетные ассигнования</v>
      </c>
      <c r="B211" s="115">
        <v>801</v>
      </c>
      <c r="C211" s="8" t="s">
        <v>223</v>
      </c>
      <c r="D211" s="8" t="s">
        <v>227</v>
      </c>
      <c r="E211" s="115" t="s">
        <v>125</v>
      </c>
      <c r="F211" s="115">
        <v>800</v>
      </c>
      <c r="G211" s="70">
        <f>G212</f>
        <v>1122.6</v>
      </c>
      <c r="H211" s="70">
        <f>H212</f>
        <v>0</v>
      </c>
      <c r="I211" s="70">
        <f t="shared" si="44"/>
        <v>1122.6</v>
      </c>
      <c r="J211" s="70">
        <f>J212</f>
        <v>-263.5</v>
      </c>
      <c r="K211" s="87">
        <f t="shared" si="45"/>
        <v>859.0999999999999</v>
      </c>
      <c r="L211" s="13">
        <f>L212</f>
        <v>0</v>
      </c>
      <c r="M211" s="87">
        <f t="shared" si="41"/>
        <v>859.0999999999999</v>
      </c>
      <c r="N211" s="13">
        <f>N212</f>
        <v>0</v>
      </c>
      <c r="O211" s="87">
        <f t="shared" si="42"/>
        <v>859.0999999999999</v>
      </c>
      <c r="P211" s="13">
        <f>P212</f>
        <v>0</v>
      </c>
      <c r="Q211" s="87">
        <f t="shared" si="39"/>
        <v>859.0999999999999</v>
      </c>
      <c r="R211" s="13">
        <f>R212</f>
        <v>11.4</v>
      </c>
      <c r="S211" s="87">
        <f t="shared" si="40"/>
        <v>870.4999999999999</v>
      </c>
    </row>
    <row r="212" spans="1:19" s="91" customFormat="1" ht="12.75">
      <c r="A212" s="62" t="str">
        <f ca="1" t="shared" si="51"/>
        <v>Уплата налогов, сборов и иных платежей</v>
      </c>
      <c r="B212" s="115">
        <v>801</v>
      </c>
      <c r="C212" s="8" t="s">
        <v>223</v>
      </c>
      <c r="D212" s="8" t="s">
        <v>227</v>
      </c>
      <c r="E212" s="115" t="s">
        <v>125</v>
      </c>
      <c r="F212" s="115">
        <v>850</v>
      </c>
      <c r="G212" s="70">
        <f>SUM(G213:G214)</f>
        <v>1122.6</v>
      </c>
      <c r="H212" s="70"/>
      <c r="I212" s="70">
        <f t="shared" si="44"/>
        <v>1122.6</v>
      </c>
      <c r="J212" s="70">
        <f>J213+J214</f>
        <v>-263.5</v>
      </c>
      <c r="K212" s="87">
        <f t="shared" si="45"/>
        <v>859.0999999999999</v>
      </c>
      <c r="L212" s="13">
        <f>L213+L214</f>
        <v>0</v>
      </c>
      <c r="M212" s="87">
        <f t="shared" si="41"/>
        <v>859.0999999999999</v>
      </c>
      <c r="N212" s="13">
        <f>N213+N214</f>
        <v>0</v>
      </c>
      <c r="O212" s="87">
        <f t="shared" si="42"/>
        <v>859.0999999999999</v>
      </c>
      <c r="P212" s="13">
        <f>P213+P214</f>
        <v>0</v>
      </c>
      <c r="Q212" s="87">
        <f t="shared" si="39"/>
        <v>859.0999999999999</v>
      </c>
      <c r="R212" s="13">
        <f>R213+R214</f>
        <v>11.4</v>
      </c>
      <c r="S212" s="87">
        <f t="shared" si="40"/>
        <v>870.4999999999999</v>
      </c>
    </row>
    <row r="213" spans="1:19" s="91" customFormat="1" ht="12.75">
      <c r="A213" s="62" t="str">
        <f ca="1">IF(ISERROR(MATCH(F213,Код_КВР,0)),"",INDIRECT(ADDRESS(MATCH(F213,Код_КВР,0)+1,2,,,"КВР")))</f>
        <v>Уплата налога на имущество организаций и земельного налога</v>
      </c>
      <c r="B213" s="115">
        <v>801</v>
      </c>
      <c r="C213" s="8" t="s">
        <v>223</v>
      </c>
      <c r="D213" s="8" t="s">
        <v>227</v>
      </c>
      <c r="E213" s="115" t="s">
        <v>125</v>
      </c>
      <c r="F213" s="115">
        <v>851</v>
      </c>
      <c r="G213" s="70">
        <v>984.9</v>
      </c>
      <c r="H213" s="70"/>
      <c r="I213" s="70">
        <f t="shared" si="44"/>
        <v>984.9</v>
      </c>
      <c r="J213" s="70">
        <v>-219.1</v>
      </c>
      <c r="K213" s="87">
        <f t="shared" si="45"/>
        <v>765.8</v>
      </c>
      <c r="L213" s="13"/>
      <c r="M213" s="87">
        <f t="shared" si="41"/>
        <v>765.8</v>
      </c>
      <c r="N213" s="13"/>
      <c r="O213" s="87">
        <f t="shared" si="42"/>
        <v>765.8</v>
      </c>
      <c r="P213" s="13"/>
      <c r="Q213" s="87">
        <f t="shared" si="39"/>
        <v>765.8</v>
      </c>
      <c r="R213" s="13"/>
      <c r="S213" s="87">
        <f t="shared" si="40"/>
        <v>765.8</v>
      </c>
    </row>
    <row r="214" spans="1:19" s="91" customFormat="1" ht="12.75">
      <c r="A214" s="62" t="str">
        <f ca="1">IF(ISERROR(MATCH(F214,Код_КВР,0)),"",INDIRECT(ADDRESS(MATCH(F214,Код_КВР,0)+1,2,,,"КВР")))</f>
        <v>Уплата прочих налогов, сборов и иных платежей</v>
      </c>
      <c r="B214" s="115">
        <v>801</v>
      </c>
      <c r="C214" s="8" t="s">
        <v>223</v>
      </c>
      <c r="D214" s="8" t="s">
        <v>227</v>
      </c>
      <c r="E214" s="115" t="s">
        <v>125</v>
      </c>
      <c r="F214" s="115">
        <v>852</v>
      </c>
      <c r="G214" s="70">
        <v>137.7</v>
      </c>
      <c r="H214" s="70"/>
      <c r="I214" s="70">
        <f t="shared" si="44"/>
        <v>137.7</v>
      </c>
      <c r="J214" s="70">
        <f>-66.7+22.3</f>
        <v>-44.400000000000006</v>
      </c>
      <c r="K214" s="87">
        <f t="shared" si="45"/>
        <v>93.29999999999998</v>
      </c>
      <c r="L214" s="13"/>
      <c r="M214" s="87">
        <f t="shared" si="41"/>
        <v>93.29999999999998</v>
      </c>
      <c r="N214" s="13"/>
      <c r="O214" s="87">
        <f t="shared" si="42"/>
        <v>93.29999999999998</v>
      </c>
      <c r="P214" s="13"/>
      <c r="Q214" s="87">
        <f t="shared" si="39"/>
        <v>93.29999999999998</v>
      </c>
      <c r="R214" s="13">
        <v>11.4</v>
      </c>
      <c r="S214" s="87">
        <f t="shared" si="40"/>
        <v>104.69999999999999</v>
      </c>
    </row>
    <row r="215" spans="1:19" s="91" customFormat="1" ht="33">
      <c r="A215" s="62" t="str">
        <f ca="1">IF(ISERROR(MATCH(E215,Код_КЦСР,0)),"",INDIRECT(ADDRESS(MATCH(E215,Код_КЦСР,0)+1,2,,,"КЦСР")))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15" s="115">
        <v>801</v>
      </c>
      <c r="C215" s="8" t="s">
        <v>223</v>
      </c>
      <c r="D215" s="8" t="s">
        <v>227</v>
      </c>
      <c r="E215" s="115" t="s">
        <v>158</v>
      </c>
      <c r="F215" s="115"/>
      <c r="G215" s="70">
        <f>G216</f>
        <v>9414.2</v>
      </c>
      <c r="H215" s="70">
        <f>H216</f>
        <v>0</v>
      </c>
      <c r="I215" s="70">
        <f t="shared" si="44"/>
        <v>9414.2</v>
      </c>
      <c r="J215" s="70">
        <f>J216</f>
        <v>0</v>
      </c>
      <c r="K215" s="87">
        <f t="shared" si="45"/>
        <v>9414.2</v>
      </c>
      <c r="L215" s="13">
        <f>L216</f>
        <v>-17.5</v>
      </c>
      <c r="M215" s="87">
        <f t="shared" si="41"/>
        <v>9396.7</v>
      </c>
      <c r="N215" s="13">
        <f>N216</f>
        <v>0</v>
      </c>
      <c r="O215" s="87">
        <f t="shared" si="42"/>
        <v>9396.7</v>
      </c>
      <c r="P215" s="13">
        <f>P216</f>
        <v>0</v>
      </c>
      <c r="Q215" s="87">
        <f t="shared" si="39"/>
        <v>9396.7</v>
      </c>
      <c r="R215" s="13">
        <f>R216</f>
        <v>0</v>
      </c>
      <c r="S215" s="87">
        <f t="shared" si="40"/>
        <v>9396.7</v>
      </c>
    </row>
    <row r="216" spans="1:19" s="91" customFormat="1" ht="12.75">
      <c r="A216" s="62" t="str">
        <f ca="1">IF(ISERROR(MATCH(E216,Код_КЦСР,0)),"",INDIRECT(ADDRESS(MATCH(E216,Код_КЦСР,0)+1,2,,,"КЦСР")))</f>
        <v>Профилактика преступлений и иных правонарушений в городе Череповце</v>
      </c>
      <c r="B216" s="115">
        <v>801</v>
      </c>
      <c r="C216" s="8" t="s">
        <v>223</v>
      </c>
      <c r="D216" s="8" t="s">
        <v>227</v>
      </c>
      <c r="E216" s="115" t="s">
        <v>160</v>
      </c>
      <c r="F216" s="115"/>
      <c r="G216" s="70">
        <f>G217</f>
        <v>9414.2</v>
      </c>
      <c r="H216" s="70">
        <f>H217</f>
        <v>0</v>
      </c>
      <c r="I216" s="70">
        <f t="shared" si="44"/>
        <v>9414.2</v>
      </c>
      <c r="J216" s="70">
        <f>J217</f>
        <v>0</v>
      </c>
      <c r="K216" s="87">
        <f t="shared" si="45"/>
        <v>9414.2</v>
      </c>
      <c r="L216" s="13">
        <f>L217</f>
        <v>-17.5</v>
      </c>
      <c r="M216" s="87">
        <f t="shared" si="41"/>
        <v>9396.7</v>
      </c>
      <c r="N216" s="13">
        <f>N217</f>
        <v>0</v>
      </c>
      <c r="O216" s="87">
        <f t="shared" si="42"/>
        <v>9396.7</v>
      </c>
      <c r="P216" s="13">
        <f>P217</f>
        <v>0</v>
      </c>
      <c r="Q216" s="87">
        <f t="shared" si="39"/>
        <v>9396.7</v>
      </c>
      <c r="R216" s="13">
        <f>R217</f>
        <v>0</v>
      </c>
      <c r="S216" s="87">
        <f t="shared" si="40"/>
        <v>9396.7</v>
      </c>
    </row>
    <row r="217" spans="1:19" s="91" customFormat="1" ht="12.75">
      <c r="A217" s="62" t="str">
        <f ca="1">IF(ISERROR(MATCH(E217,Код_КЦСР,0)),"",INDIRECT(ADDRESS(MATCH(E217,Код_КЦСР,0)+1,2,,,"КЦСР")))</f>
        <v>Привлечение общественности к охране общественного порядка</v>
      </c>
      <c r="B217" s="115">
        <v>801</v>
      </c>
      <c r="C217" s="8" t="s">
        <v>223</v>
      </c>
      <c r="D217" s="8" t="s">
        <v>227</v>
      </c>
      <c r="E217" s="115" t="s">
        <v>162</v>
      </c>
      <c r="F217" s="115"/>
      <c r="G217" s="70">
        <f>G218+G220+G223</f>
        <v>9414.2</v>
      </c>
      <c r="H217" s="70">
        <f>H218+H220+H223</f>
        <v>0</v>
      </c>
      <c r="I217" s="70">
        <f t="shared" si="44"/>
        <v>9414.2</v>
      </c>
      <c r="J217" s="70">
        <f>J218+J220+J223</f>
        <v>0</v>
      </c>
      <c r="K217" s="87">
        <f t="shared" si="45"/>
        <v>9414.2</v>
      </c>
      <c r="L217" s="13">
        <f>L218+L220+L223</f>
        <v>-17.5</v>
      </c>
      <c r="M217" s="87">
        <f t="shared" si="41"/>
        <v>9396.7</v>
      </c>
      <c r="N217" s="13">
        <f>N218+N220+N223</f>
        <v>0</v>
      </c>
      <c r="O217" s="87">
        <f t="shared" si="42"/>
        <v>9396.7</v>
      </c>
      <c r="P217" s="13">
        <f>P218+P220+P223</f>
        <v>0</v>
      </c>
      <c r="Q217" s="87">
        <f aca="true" t="shared" si="53" ref="Q217:Q288">O217+P217</f>
        <v>9396.7</v>
      </c>
      <c r="R217" s="13">
        <f>R218+R220+R223</f>
        <v>0</v>
      </c>
      <c r="S217" s="87">
        <f aca="true" t="shared" si="54" ref="S217:S283">Q217+R217</f>
        <v>9396.7</v>
      </c>
    </row>
    <row r="218" spans="1:19" s="91" customFormat="1" ht="33">
      <c r="A218" s="62" t="str">
        <f aca="true" t="shared" si="55" ref="A218:A224">IF(ISERROR(MATCH(F218,Код_КВР,0)),"",INDIRECT(ADDRESS(MATCH(F218,Код_КВР,0)+1,2,,,"КВР")))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18" s="115">
        <v>801</v>
      </c>
      <c r="C218" s="8" t="s">
        <v>223</v>
      </c>
      <c r="D218" s="8" t="s">
        <v>227</v>
      </c>
      <c r="E218" s="115" t="s">
        <v>162</v>
      </c>
      <c r="F218" s="115">
        <v>100</v>
      </c>
      <c r="G218" s="70">
        <f>G219</f>
        <v>7465.6</v>
      </c>
      <c r="H218" s="70">
        <f>H219</f>
        <v>0</v>
      </c>
      <c r="I218" s="70">
        <f t="shared" si="44"/>
        <v>7465.6</v>
      </c>
      <c r="J218" s="70">
        <f>J219</f>
        <v>0</v>
      </c>
      <c r="K218" s="87">
        <f t="shared" si="45"/>
        <v>7465.6</v>
      </c>
      <c r="L218" s="13">
        <f>L219</f>
        <v>0</v>
      </c>
      <c r="M218" s="87">
        <f t="shared" si="41"/>
        <v>7465.6</v>
      </c>
      <c r="N218" s="13">
        <f>N219</f>
        <v>0</v>
      </c>
      <c r="O218" s="87">
        <f t="shared" si="42"/>
        <v>7465.6</v>
      </c>
      <c r="P218" s="13">
        <f>P219</f>
        <v>0</v>
      </c>
      <c r="Q218" s="87">
        <f t="shared" si="53"/>
        <v>7465.6</v>
      </c>
      <c r="R218" s="13">
        <f>R219</f>
        <v>-68.4</v>
      </c>
      <c r="S218" s="87">
        <f t="shared" si="54"/>
        <v>7397.200000000001</v>
      </c>
    </row>
    <row r="219" spans="1:19" s="91" customFormat="1" ht="12.75">
      <c r="A219" s="62" t="str">
        <f ca="1" t="shared" si="55"/>
        <v>Расходы на выплаты персоналу казенных учреждений</v>
      </c>
      <c r="B219" s="115">
        <v>801</v>
      </c>
      <c r="C219" s="8" t="s">
        <v>223</v>
      </c>
      <c r="D219" s="8" t="s">
        <v>227</v>
      </c>
      <c r="E219" s="115" t="s">
        <v>162</v>
      </c>
      <c r="F219" s="115">
        <v>110</v>
      </c>
      <c r="G219" s="70">
        <v>7465.6</v>
      </c>
      <c r="H219" s="70"/>
      <c r="I219" s="70">
        <f t="shared" si="44"/>
        <v>7465.6</v>
      </c>
      <c r="J219" s="70"/>
      <c r="K219" s="87">
        <f t="shared" si="45"/>
        <v>7465.6</v>
      </c>
      <c r="L219" s="13"/>
      <c r="M219" s="87">
        <f t="shared" si="41"/>
        <v>7465.6</v>
      </c>
      <c r="N219" s="13"/>
      <c r="O219" s="87">
        <f t="shared" si="42"/>
        <v>7465.6</v>
      </c>
      <c r="P219" s="13"/>
      <c r="Q219" s="87">
        <f t="shared" si="53"/>
        <v>7465.6</v>
      </c>
      <c r="R219" s="13">
        <v>-68.4</v>
      </c>
      <c r="S219" s="87">
        <f t="shared" si="54"/>
        <v>7397.200000000001</v>
      </c>
    </row>
    <row r="220" spans="1:19" s="91" customFormat="1" ht="12.75">
      <c r="A220" s="62" t="str">
        <f ca="1" t="shared" si="55"/>
        <v>Закупка товаров, работ и услуг для муниципальных нужд</v>
      </c>
      <c r="B220" s="115">
        <v>801</v>
      </c>
      <c r="C220" s="8" t="s">
        <v>223</v>
      </c>
      <c r="D220" s="8" t="s">
        <v>227</v>
      </c>
      <c r="E220" s="115" t="s">
        <v>162</v>
      </c>
      <c r="F220" s="115">
        <v>200</v>
      </c>
      <c r="G220" s="70">
        <f>G221</f>
        <v>1688.6</v>
      </c>
      <c r="H220" s="70">
        <f>H221</f>
        <v>0</v>
      </c>
      <c r="I220" s="70">
        <f t="shared" si="44"/>
        <v>1688.6</v>
      </c>
      <c r="J220" s="70">
        <f>J221</f>
        <v>0</v>
      </c>
      <c r="K220" s="87">
        <f t="shared" si="45"/>
        <v>1688.6</v>
      </c>
      <c r="L220" s="13">
        <f>L221</f>
        <v>-17.5</v>
      </c>
      <c r="M220" s="87">
        <f t="shared" si="41"/>
        <v>1671.1</v>
      </c>
      <c r="N220" s="13">
        <f>N221</f>
        <v>0</v>
      </c>
      <c r="O220" s="87">
        <f t="shared" si="42"/>
        <v>1671.1</v>
      </c>
      <c r="P220" s="13">
        <f>P221</f>
        <v>0</v>
      </c>
      <c r="Q220" s="87">
        <f t="shared" si="53"/>
        <v>1671.1</v>
      </c>
      <c r="R220" s="13">
        <f>R221</f>
        <v>68.4</v>
      </c>
      <c r="S220" s="87">
        <f t="shared" si="54"/>
        <v>1739.5</v>
      </c>
    </row>
    <row r="221" spans="1:19" s="91" customFormat="1" ht="33">
      <c r="A221" s="62" t="str">
        <f ca="1" t="shared" si="55"/>
        <v>Иные закупки товаров, работ и услуг для обеспечения муниципальных нужд</v>
      </c>
      <c r="B221" s="115">
        <v>801</v>
      </c>
      <c r="C221" s="8" t="s">
        <v>223</v>
      </c>
      <c r="D221" s="8" t="s">
        <v>227</v>
      </c>
      <c r="E221" s="115" t="s">
        <v>162</v>
      </c>
      <c r="F221" s="115">
        <v>240</v>
      </c>
      <c r="G221" s="70">
        <f>G222</f>
        <v>1688.6</v>
      </c>
      <c r="H221" s="70">
        <f>H222</f>
        <v>0</v>
      </c>
      <c r="I221" s="70">
        <f t="shared" si="44"/>
        <v>1688.6</v>
      </c>
      <c r="J221" s="70">
        <f>J222</f>
        <v>0</v>
      </c>
      <c r="K221" s="87">
        <f t="shared" si="45"/>
        <v>1688.6</v>
      </c>
      <c r="L221" s="13">
        <f>L222</f>
        <v>-17.5</v>
      </c>
      <c r="M221" s="87">
        <f t="shared" si="41"/>
        <v>1671.1</v>
      </c>
      <c r="N221" s="13">
        <f>N222</f>
        <v>0</v>
      </c>
      <c r="O221" s="87">
        <f t="shared" si="42"/>
        <v>1671.1</v>
      </c>
      <c r="P221" s="13">
        <f>P222</f>
        <v>0</v>
      </c>
      <c r="Q221" s="87">
        <f t="shared" si="53"/>
        <v>1671.1</v>
      </c>
      <c r="R221" s="13">
        <f>R222</f>
        <v>68.4</v>
      </c>
      <c r="S221" s="87">
        <f t="shared" si="54"/>
        <v>1739.5</v>
      </c>
    </row>
    <row r="222" spans="1:19" s="91" customFormat="1" ht="33">
      <c r="A222" s="62" t="str">
        <f ca="1" t="shared" si="55"/>
        <v xml:space="preserve">Прочая закупка товаров, работ и услуг для обеспечения муниципальных нужд         </v>
      </c>
      <c r="B222" s="115">
        <v>801</v>
      </c>
      <c r="C222" s="8" t="s">
        <v>223</v>
      </c>
      <c r="D222" s="8" t="s">
        <v>227</v>
      </c>
      <c r="E222" s="115" t="s">
        <v>162</v>
      </c>
      <c r="F222" s="115">
        <v>244</v>
      </c>
      <c r="G222" s="70">
        <v>1688.6</v>
      </c>
      <c r="H222" s="70"/>
      <c r="I222" s="70">
        <f t="shared" si="44"/>
        <v>1688.6</v>
      </c>
      <c r="J222" s="70"/>
      <c r="K222" s="87">
        <f t="shared" si="45"/>
        <v>1688.6</v>
      </c>
      <c r="L222" s="13">
        <v>-17.5</v>
      </c>
      <c r="M222" s="87">
        <f t="shared" si="41"/>
        <v>1671.1</v>
      </c>
      <c r="N222" s="13"/>
      <c r="O222" s="87">
        <f t="shared" si="42"/>
        <v>1671.1</v>
      </c>
      <c r="P222" s="13"/>
      <c r="Q222" s="87">
        <f t="shared" si="53"/>
        <v>1671.1</v>
      </c>
      <c r="R222" s="13">
        <f>43.8+24.6</f>
        <v>68.4</v>
      </c>
      <c r="S222" s="87">
        <f t="shared" si="54"/>
        <v>1739.5</v>
      </c>
    </row>
    <row r="223" spans="1:19" s="91" customFormat="1" ht="12.75">
      <c r="A223" s="62" t="str">
        <f ca="1" t="shared" si="55"/>
        <v>Иные бюджетные ассигнования</v>
      </c>
      <c r="B223" s="115">
        <v>801</v>
      </c>
      <c r="C223" s="8" t="s">
        <v>223</v>
      </c>
      <c r="D223" s="8" t="s">
        <v>227</v>
      </c>
      <c r="E223" s="115" t="s">
        <v>162</v>
      </c>
      <c r="F223" s="115">
        <v>800</v>
      </c>
      <c r="G223" s="70">
        <f>G224</f>
        <v>260</v>
      </c>
      <c r="H223" s="70">
        <f>H224</f>
        <v>0</v>
      </c>
      <c r="I223" s="70">
        <f t="shared" si="44"/>
        <v>260</v>
      </c>
      <c r="J223" s="70">
        <f>J224</f>
        <v>0</v>
      </c>
      <c r="K223" s="87">
        <f t="shared" si="45"/>
        <v>260</v>
      </c>
      <c r="L223" s="13">
        <f>L224</f>
        <v>0</v>
      </c>
      <c r="M223" s="87">
        <f aca="true" t="shared" si="56" ref="M223:M294">K223+L223</f>
        <v>260</v>
      </c>
      <c r="N223" s="13">
        <f>N224</f>
        <v>0</v>
      </c>
      <c r="O223" s="87">
        <f aca="true" t="shared" si="57" ref="O223:O294">M223+N223</f>
        <v>260</v>
      </c>
      <c r="P223" s="13">
        <f>P224</f>
        <v>0</v>
      </c>
      <c r="Q223" s="87">
        <f t="shared" si="53"/>
        <v>260</v>
      </c>
      <c r="R223" s="13">
        <f>R224</f>
        <v>0</v>
      </c>
      <c r="S223" s="87">
        <f t="shared" si="54"/>
        <v>260</v>
      </c>
    </row>
    <row r="224" spans="1:19" s="91" customFormat="1" ht="12.75">
      <c r="A224" s="62" t="str">
        <f ca="1" t="shared" si="55"/>
        <v>Уплата налогов, сборов и иных платежей</v>
      </c>
      <c r="B224" s="115">
        <v>801</v>
      </c>
      <c r="C224" s="8" t="s">
        <v>223</v>
      </c>
      <c r="D224" s="8" t="s">
        <v>227</v>
      </c>
      <c r="E224" s="115" t="s">
        <v>162</v>
      </c>
      <c r="F224" s="115">
        <v>850</v>
      </c>
      <c r="G224" s="70">
        <f>G225</f>
        <v>260</v>
      </c>
      <c r="H224" s="70">
        <f>H225</f>
        <v>0</v>
      </c>
      <c r="I224" s="70">
        <f t="shared" si="44"/>
        <v>260</v>
      </c>
      <c r="J224" s="70">
        <f>J225</f>
        <v>0</v>
      </c>
      <c r="K224" s="87">
        <f t="shared" si="45"/>
        <v>260</v>
      </c>
      <c r="L224" s="13">
        <f>L225</f>
        <v>0</v>
      </c>
      <c r="M224" s="87">
        <f t="shared" si="56"/>
        <v>260</v>
      </c>
      <c r="N224" s="13">
        <f>N225</f>
        <v>0</v>
      </c>
      <c r="O224" s="87">
        <f t="shared" si="57"/>
        <v>260</v>
      </c>
      <c r="P224" s="13">
        <f>P225</f>
        <v>0</v>
      </c>
      <c r="Q224" s="87">
        <f t="shared" si="53"/>
        <v>260</v>
      </c>
      <c r="R224" s="13">
        <f>R225</f>
        <v>0</v>
      </c>
      <c r="S224" s="87">
        <f t="shared" si="54"/>
        <v>260</v>
      </c>
    </row>
    <row r="225" spans="1:19" s="91" customFormat="1" ht="12.75">
      <c r="A225" s="62" t="str">
        <f ca="1">IF(ISERROR(MATCH(F225,Код_КВР,0)),"",INDIRECT(ADDRESS(MATCH(F225,Код_КВР,0)+1,2,,,"КВР")))</f>
        <v>Уплата налога на имущество организаций и земельного налога</v>
      </c>
      <c r="B225" s="115">
        <v>801</v>
      </c>
      <c r="C225" s="8" t="s">
        <v>223</v>
      </c>
      <c r="D225" s="8" t="s">
        <v>227</v>
      </c>
      <c r="E225" s="115" t="s">
        <v>162</v>
      </c>
      <c r="F225" s="115">
        <v>851</v>
      </c>
      <c r="G225" s="70">
        <v>260</v>
      </c>
      <c r="H225" s="70"/>
      <c r="I225" s="70">
        <f t="shared" si="44"/>
        <v>260</v>
      </c>
      <c r="J225" s="70"/>
      <c r="K225" s="87">
        <f t="shared" si="45"/>
        <v>260</v>
      </c>
      <c r="L225" s="13"/>
      <c r="M225" s="87">
        <f t="shared" si="56"/>
        <v>260</v>
      </c>
      <c r="N225" s="13"/>
      <c r="O225" s="87">
        <f t="shared" si="57"/>
        <v>260</v>
      </c>
      <c r="P225" s="13"/>
      <c r="Q225" s="87">
        <f t="shared" si="53"/>
        <v>260</v>
      </c>
      <c r="R225" s="13"/>
      <c r="S225" s="87">
        <f t="shared" si="54"/>
        <v>260</v>
      </c>
    </row>
    <row r="226" spans="1:19" s="91" customFormat="1" ht="12.75">
      <c r="A226" s="62" t="str">
        <f ca="1">IF(ISERROR(MATCH(C226,Код_Раздел,0)),"",INDIRECT(ADDRESS(MATCH(C226,Код_Раздел,0)+1,2,,,"Раздел")))</f>
        <v>Национальная экономика</v>
      </c>
      <c r="B226" s="115">
        <v>801</v>
      </c>
      <c r="C226" s="8" t="s">
        <v>224</v>
      </c>
      <c r="D226" s="8"/>
      <c r="E226" s="115"/>
      <c r="F226" s="115"/>
      <c r="G226" s="70">
        <f>G227+G238+G270</f>
        <v>70063.1</v>
      </c>
      <c r="H226" s="70">
        <f>H227+H238+H270</f>
        <v>0</v>
      </c>
      <c r="I226" s="70">
        <f t="shared" si="44"/>
        <v>70063.1</v>
      </c>
      <c r="J226" s="70">
        <f>J227+J238+J270</f>
        <v>1675.6999999999998</v>
      </c>
      <c r="K226" s="87">
        <f t="shared" si="45"/>
        <v>71738.8</v>
      </c>
      <c r="L226" s="13">
        <f>L227+L238+L270</f>
        <v>-642.5</v>
      </c>
      <c r="M226" s="87">
        <f t="shared" si="56"/>
        <v>71096.3</v>
      </c>
      <c r="N226" s="13">
        <f>N227+N238+N270</f>
        <v>319.6</v>
      </c>
      <c r="O226" s="87">
        <f t="shared" si="57"/>
        <v>71415.90000000001</v>
      </c>
      <c r="P226" s="13">
        <f>P227+P238+P270+P233</f>
        <v>12800</v>
      </c>
      <c r="Q226" s="87">
        <f t="shared" si="53"/>
        <v>84215.90000000001</v>
      </c>
      <c r="R226" s="13">
        <f>R227+R238+R270+R233</f>
        <v>-3161.8</v>
      </c>
      <c r="S226" s="87">
        <f t="shared" si="54"/>
        <v>81054.1</v>
      </c>
    </row>
    <row r="227" spans="1:19" s="91" customFormat="1" ht="12.75">
      <c r="A227" s="78" t="s">
        <v>211</v>
      </c>
      <c r="B227" s="115">
        <v>801</v>
      </c>
      <c r="C227" s="8" t="s">
        <v>224</v>
      </c>
      <c r="D227" s="8" t="s">
        <v>221</v>
      </c>
      <c r="E227" s="115"/>
      <c r="F227" s="115"/>
      <c r="G227" s="70">
        <f aca="true" t="shared" si="58" ref="G227:R231">G228</f>
        <v>1338.9</v>
      </c>
      <c r="H227" s="70">
        <f t="shared" si="58"/>
        <v>0</v>
      </c>
      <c r="I227" s="70">
        <f t="shared" si="44"/>
        <v>1338.9</v>
      </c>
      <c r="J227" s="70">
        <f t="shared" si="58"/>
        <v>0</v>
      </c>
      <c r="K227" s="87">
        <f t="shared" si="45"/>
        <v>1338.9</v>
      </c>
      <c r="L227" s="13">
        <f t="shared" si="58"/>
        <v>0</v>
      </c>
      <c r="M227" s="87">
        <f t="shared" si="56"/>
        <v>1338.9</v>
      </c>
      <c r="N227" s="13">
        <f t="shared" si="58"/>
        <v>0</v>
      </c>
      <c r="O227" s="87">
        <f t="shared" si="57"/>
        <v>1338.9</v>
      </c>
      <c r="P227" s="13">
        <f t="shared" si="58"/>
        <v>0</v>
      </c>
      <c r="Q227" s="87">
        <f t="shared" si="53"/>
        <v>1338.9</v>
      </c>
      <c r="R227" s="13">
        <f t="shared" si="58"/>
        <v>-17.4</v>
      </c>
      <c r="S227" s="87">
        <f t="shared" si="54"/>
        <v>1321.5</v>
      </c>
    </row>
    <row r="228" spans="1:19" s="91" customFormat="1" ht="33">
      <c r="A228" s="62" t="str">
        <f ca="1">IF(ISERROR(MATCH(E228,Код_КЦСР,0)),"",INDIRECT(ADDRESS(MATCH(E228,Код_КЦСР,0)+1,2,,,"КЦСР")))</f>
        <v>Муниципальная программа «Развитие молодежной политики» на 2013-2018 годы</v>
      </c>
      <c r="B228" s="115">
        <v>801</v>
      </c>
      <c r="C228" s="8" t="s">
        <v>224</v>
      </c>
      <c r="D228" s="8" t="s">
        <v>221</v>
      </c>
      <c r="E228" s="115" t="s">
        <v>573</v>
      </c>
      <c r="F228" s="115"/>
      <c r="G228" s="70">
        <f t="shared" si="58"/>
        <v>1338.9</v>
      </c>
      <c r="H228" s="70">
        <f t="shared" si="58"/>
        <v>0</v>
      </c>
      <c r="I228" s="70">
        <f t="shared" si="44"/>
        <v>1338.9</v>
      </c>
      <c r="J228" s="70">
        <f t="shared" si="58"/>
        <v>0</v>
      </c>
      <c r="K228" s="87">
        <f t="shared" si="45"/>
        <v>1338.9</v>
      </c>
      <c r="L228" s="13">
        <f t="shared" si="58"/>
        <v>0</v>
      </c>
      <c r="M228" s="87">
        <f t="shared" si="56"/>
        <v>1338.9</v>
      </c>
      <c r="N228" s="13">
        <f t="shared" si="58"/>
        <v>0</v>
      </c>
      <c r="O228" s="87">
        <f t="shared" si="57"/>
        <v>1338.9</v>
      </c>
      <c r="P228" s="13">
        <f t="shared" si="58"/>
        <v>0</v>
      </c>
      <c r="Q228" s="87">
        <f t="shared" si="53"/>
        <v>1338.9</v>
      </c>
      <c r="R228" s="13">
        <f t="shared" si="58"/>
        <v>-17.4</v>
      </c>
      <c r="S228" s="87">
        <f t="shared" si="54"/>
        <v>1321.5</v>
      </c>
    </row>
    <row r="229" spans="1:19" s="91" customFormat="1" ht="33">
      <c r="A229" s="62" t="str">
        <f ca="1">IF(ISERROR(MATCH(E229,Код_КЦСР,0)),"",INDIRECT(ADDRESS(MATCH(E229,Код_КЦСР,0)+1,2,,,"КЦСР")))</f>
        <v>Организация временного трудоустройства несовершеннолетних в возрасте от 14 до 18 лет</v>
      </c>
      <c r="B229" s="115">
        <v>801</v>
      </c>
      <c r="C229" s="8" t="s">
        <v>224</v>
      </c>
      <c r="D229" s="8" t="s">
        <v>221</v>
      </c>
      <c r="E229" s="115" t="s">
        <v>575</v>
      </c>
      <c r="F229" s="115"/>
      <c r="G229" s="70">
        <f t="shared" si="58"/>
        <v>1338.9</v>
      </c>
      <c r="H229" s="70">
        <f t="shared" si="58"/>
        <v>0</v>
      </c>
      <c r="I229" s="70">
        <f t="shared" si="44"/>
        <v>1338.9</v>
      </c>
      <c r="J229" s="70">
        <f t="shared" si="58"/>
        <v>0</v>
      </c>
      <c r="K229" s="87">
        <f t="shared" si="45"/>
        <v>1338.9</v>
      </c>
      <c r="L229" s="13">
        <f t="shared" si="58"/>
        <v>0</v>
      </c>
      <c r="M229" s="87">
        <f t="shared" si="56"/>
        <v>1338.9</v>
      </c>
      <c r="N229" s="13">
        <f t="shared" si="58"/>
        <v>0</v>
      </c>
      <c r="O229" s="87">
        <f t="shared" si="57"/>
        <v>1338.9</v>
      </c>
      <c r="P229" s="13">
        <f t="shared" si="58"/>
        <v>0</v>
      </c>
      <c r="Q229" s="87">
        <f t="shared" si="53"/>
        <v>1338.9</v>
      </c>
      <c r="R229" s="13">
        <f t="shared" si="58"/>
        <v>-17.4</v>
      </c>
      <c r="S229" s="87">
        <f t="shared" si="54"/>
        <v>1321.5</v>
      </c>
    </row>
    <row r="230" spans="1:19" s="91" customFormat="1" ht="33">
      <c r="A230" s="62" t="str">
        <f ca="1">IF(ISERROR(MATCH(F230,Код_КВР,0)),"",INDIRECT(ADDRESS(MATCH(F230,Код_КВР,0)+1,2,,,"КВР")))</f>
        <v>Предоставление субсидий бюджетным, автономным учреждениям и иным некоммерческим организациям</v>
      </c>
      <c r="B230" s="115">
        <v>801</v>
      </c>
      <c r="C230" s="8" t="s">
        <v>224</v>
      </c>
      <c r="D230" s="8" t="s">
        <v>221</v>
      </c>
      <c r="E230" s="115" t="s">
        <v>575</v>
      </c>
      <c r="F230" s="115">
        <v>600</v>
      </c>
      <c r="G230" s="70">
        <f t="shared" si="58"/>
        <v>1338.9</v>
      </c>
      <c r="H230" s="70">
        <f t="shared" si="58"/>
        <v>0</v>
      </c>
      <c r="I230" s="70">
        <f t="shared" si="44"/>
        <v>1338.9</v>
      </c>
      <c r="J230" s="70">
        <f t="shared" si="58"/>
        <v>0</v>
      </c>
      <c r="K230" s="87">
        <f t="shared" si="45"/>
        <v>1338.9</v>
      </c>
      <c r="L230" s="13">
        <f t="shared" si="58"/>
        <v>0</v>
      </c>
      <c r="M230" s="87">
        <f t="shared" si="56"/>
        <v>1338.9</v>
      </c>
      <c r="N230" s="13">
        <f t="shared" si="58"/>
        <v>0</v>
      </c>
      <c r="O230" s="87">
        <f t="shared" si="57"/>
        <v>1338.9</v>
      </c>
      <c r="P230" s="13">
        <f t="shared" si="58"/>
        <v>0</v>
      </c>
      <c r="Q230" s="87">
        <f t="shared" si="53"/>
        <v>1338.9</v>
      </c>
      <c r="R230" s="13">
        <f t="shared" si="58"/>
        <v>-17.4</v>
      </c>
      <c r="S230" s="87">
        <f t="shared" si="54"/>
        <v>1321.5</v>
      </c>
    </row>
    <row r="231" spans="1:19" s="91" customFormat="1" ht="12.75">
      <c r="A231" s="62" t="str">
        <f ca="1">IF(ISERROR(MATCH(F231,Код_КВР,0)),"",INDIRECT(ADDRESS(MATCH(F231,Код_КВР,0)+1,2,,,"КВР")))</f>
        <v>Субсидии бюджетным учреждениям</v>
      </c>
      <c r="B231" s="115">
        <v>801</v>
      </c>
      <c r="C231" s="8" t="s">
        <v>224</v>
      </c>
      <c r="D231" s="8" t="s">
        <v>221</v>
      </c>
      <c r="E231" s="115" t="s">
        <v>575</v>
      </c>
      <c r="F231" s="115">
        <v>610</v>
      </c>
      <c r="G231" s="70">
        <f t="shared" si="58"/>
        <v>1338.9</v>
      </c>
      <c r="H231" s="70">
        <f t="shared" si="58"/>
        <v>0</v>
      </c>
      <c r="I231" s="70">
        <f t="shared" si="44"/>
        <v>1338.9</v>
      </c>
      <c r="J231" s="70">
        <f t="shared" si="58"/>
        <v>0</v>
      </c>
      <c r="K231" s="87">
        <f t="shared" si="45"/>
        <v>1338.9</v>
      </c>
      <c r="L231" s="13">
        <f t="shared" si="58"/>
        <v>0</v>
      </c>
      <c r="M231" s="87">
        <f t="shared" si="56"/>
        <v>1338.9</v>
      </c>
      <c r="N231" s="13">
        <f t="shared" si="58"/>
        <v>0</v>
      </c>
      <c r="O231" s="87">
        <f t="shared" si="57"/>
        <v>1338.9</v>
      </c>
      <c r="P231" s="13">
        <f t="shared" si="58"/>
        <v>0</v>
      </c>
      <c r="Q231" s="87">
        <f t="shared" si="53"/>
        <v>1338.9</v>
      </c>
      <c r="R231" s="13">
        <f t="shared" si="58"/>
        <v>-17.4</v>
      </c>
      <c r="S231" s="87">
        <f t="shared" si="54"/>
        <v>1321.5</v>
      </c>
    </row>
    <row r="232" spans="1:19" s="91" customFormat="1" ht="49.5">
      <c r="A232" s="62" t="str">
        <f ca="1">IF(ISERROR(MATCH(F232,Код_КВР,0)),"",INDIRECT(ADDRESS(MATCH(F232,Код_КВР,0)+1,2,,,"КВР")))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2" s="115">
        <v>801</v>
      </c>
      <c r="C232" s="8" t="s">
        <v>224</v>
      </c>
      <c r="D232" s="8" t="s">
        <v>221</v>
      </c>
      <c r="E232" s="115" t="s">
        <v>575</v>
      </c>
      <c r="F232" s="115">
        <v>611</v>
      </c>
      <c r="G232" s="70">
        <v>1338.9</v>
      </c>
      <c r="H232" s="70"/>
      <c r="I232" s="70">
        <f t="shared" si="44"/>
        <v>1338.9</v>
      </c>
      <c r="J232" s="70"/>
      <c r="K232" s="87">
        <f t="shared" si="45"/>
        <v>1338.9</v>
      </c>
      <c r="L232" s="13"/>
      <c r="M232" s="87">
        <f t="shared" si="56"/>
        <v>1338.9</v>
      </c>
      <c r="N232" s="13"/>
      <c r="O232" s="87">
        <f t="shared" si="57"/>
        <v>1338.9</v>
      </c>
      <c r="P232" s="13"/>
      <c r="Q232" s="87">
        <f t="shared" si="53"/>
        <v>1338.9</v>
      </c>
      <c r="R232" s="13">
        <v>-17.4</v>
      </c>
      <c r="S232" s="87">
        <f t="shared" si="54"/>
        <v>1321.5</v>
      </c>
    </row>
    <row r="233" spans="1:19" s="113" customFormat="1" ht="12.75">
      <c r="A233" s="79" t="s">
        <v>369</v>
      </c>
      <c r="B233" s="115">
        <v>801</v>
      </c>
      <c r="C233" s="8" t="s">
        <v>224</v>
      </c>
      <c r="D233" s="8" t="s">
        <v>230</v>
      </c>
      <c r="E233" s="115"/>
      <c r="F233" s="115"/>
      <c r="G233" s="70"/>
      <c r="H233" s="70"/>
      <c r="I233" s="70"/>
      <c r="J233" s="70"/>
      <c r="K233" s="87"/>
      <c r="L233" s="13"/>
      <c r="M233" s="87"/>
      <c r="N233" s="13"/>
      <c r="O233" s="87"/>
      <c r="P233" s="13">
        <f>P234</f>
        <v>12800</v>
      </c>
      <c r="Q233" s="87">
        <f t="shared" si="53"/>
        <v>12800</v>
      </c>
      <c r="R233" s="13">
        <f>R234</f>
        <v>0</v>
      </c>
      <c r="S233" s="87">
        <f t="shared" si="54"/>
        <v>12800</v>
      </c>
    </row>
    <row r="234" spans="1:19" s="113" customFormat="1" ht="33">
      <c r="A234" s="62" t="str">
        <f ca="1">IF(ISERROR(MATCH(E234,Код_КЦСР,0)),"",INDIRECT(ADDRESS(MATCH(E234,Код_КЦСР,0)+1,2,,,"КЦСР")))</f>
        <v>Муниципальная программа «Развитие городского общественного транспорта» на 2014-2016 годы</v>
      </c>
      <c r="B234" s="115">
        <v>801</v>
      </c>
      <c r="C234" s="8" t="s">
        <v>224</v>
      </c>
      <c r="D234" s="8" t="s">
        <v>230</v>
      </c>
      <c r="E234" s="115" t="s">
        <v>39</v>
      </c>
      <c r="F234" s="115"/>
      <c r="G234" s="70"/>
      <c r="H234" s="70"/>
      <c r="I234" s="70"/>
      <c r="J234" s="70"/>
      <c r="K234" s="87"/>
      <c r="L234" s="13"/>
      <c r="M234" s="87"/>
      <c r="N234" s="13"/>
      <c r="O234" s="87"/>
      <c r="P234" s="13">
        <f>P235</f>
        <v>12800</v>
      </c>
      <c r="Q234" s="87">
        <f t="shared" si="53"/>
        <v>12800</v>
      </c>
      <c r="R234" s="13">
        <f>R235</f>
        <v>0</v>
      </c>
      <c r="S234" s="87">
        <f t="shared" si="54"/>
        <v>12800</v>
      </c>
    </row>
    <row r="235" spans="1:19" s="113" customFormat="1" ht="66.75" customHeight="1">
      <c r="A235" s="62" t="str">
        <f ca="1">IF(ISERROR(MATCH(E235,Код_КЦСР,0)),"",INDIRECT(ADDRESS(MATCH(E235,Код_КЦСР,0)+1,2,,,"КЦСР")))</f>
        <v>Субсидии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v>
      </c>
      <c r="B235" s="115">
        <v>801</v>
      </c>
      <c r="C235" s="8" t="s">
        <v>224</v>
      </c>
      <c r="D235" s="8" t="s">
        <v>230</v>
      </c>
      <c r="E235" s="115" t="s">
        <v>646</v>
      </c>
      <c r="F235" s="116"/>
      <c r="G235" s="70"/>
      <c r="H235" s="70"/>
      <c r="I235" s="70"/>
      <c r="J235" s="70"/>
      <c r="K235" s="87"/>
      <c r="L235" s="13"/>
      <c r="M235" s="87"/>
      <c r="N235" s="13"/>
      <c r="O235" s="87"/>
      <c r="P235" s="13">
        <f>P236</f>
        <v>12800</v>
      </c>
      <c r="Q235" s="87">
        <f t="shared" si="53"/>
        <v>12800</v>
      </c>
      <c r="R235" s="13">
        <f>R236</f>
        <v>0</v>
      </c>
      <c r="S235" s="87">
        <f t="shared" si="54"/>
        <v>12800</v>
      </c>
    </row>
    <row r="236" spans="1:19" s="113" customFormat="1" ht="12.75">
      <c r="A236" s="62" t="str">
        <f ca="1">IF(ISERROR(MATCH(F236,Код_КВР,0)),"",INDIRECT(ADDRESS(MATCH(F236,Код_КВР,0)+1,2,,,"КВР")))</f>
        <v>Иные бюджетные ассигнования</v>
      </c>
      <c r="B236" s="115">
        <v>801</v>
      </c>
      <c r="C236" s="8" t="s">
        <v>224</v>
      </c>
      <c r="D236" s="8" t="s">
        <v>230</v>
      </c>
      <c r="E236" s="115" t="s">
        <v>646</v>
      </c>
      <c r="F236" s="115">
        <v>800</v>
      </c>
      <c r="G236" s="70"/>
      <c r="H236" s="70"/>
      <c r="I236" s="70"/>
      <c r="J236" s="70"/>
      <c r="K236" s="87"/>
      <c r="L236" s="13"/>
      <c r="M236" s="87"/>
      <c r="N236" s="13"/>
      <c r="O236" s="87"/>
      <c r="P236" s="13">
        <f>P237</f>
        <v>12800</v>
      </c>
      <c r="Q236" s="87">
        <f t="shared" si="53"/>
        <v>12800</v>
      </c>
      <c r="R236" s="13">
        <f>R237</f>
        <v>0</v>
      </c>
      <c r="S236" s="87">
        <f t="shared" si="54"/>
        <v>12800</v>
      </c>
    </row>
    <row r="237" spans="1:19" s="113" customFormat="1" ht="42.75" customHeight="1">
      <c r="A237" s="62" t="str">
        <f ca="1">IF(ISERROR(MATCH(F237,Код_КВР,0)),"",INDIRECT(ADDRESS(MATCH(F237,Код_КВР,0)+1,2,,,"КВР")))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37" s="115">
        <v>801</v>
      </c>
      <c r="C237" s="8" t="s">
        <v>224</v>
      </c>
      <c r="D237" s="8" t="s">
        <v>230</v>
      </c>
      <c r="E237" s="115" t="s">
        <v>646</v>
      </c>
      <c r="F237" s="115">
        <v>810</v>
      </c>
      <c r="G237" s="70"/>
      <c r="H237" s="70"/>
      <c r="I237" s="70"/>
      <c r="J237" s="70"/>
      <c r="K237" s="87"/>
      <c r="L237" s="13"/>
      <c r="M237" s="87"/>
      <c r="N237" s="13"/>
      <c r="O237" s="87"/>
      <c r="P237" s="13">
        <v>12800</v>
      </c>
      <c r="Q237" s="87">
        <f t="shared" si="53"/>
        <v>12800</v>
      </c>
      <c r="R237" s="13"/>
      <c r="S237" s="87">
        <f t="shared" si="54"/>
        <v>12800</v>
      </c>
    </row>
    <row r="238" spans="1:19" s="91" customFormat="1" ht="12.75">
      <c r="A238" s="12" t="s">
        <v>238</v>
      </c>
      <c r="B238" s="115">
        <v>801</v>
      </c>
      <c r="C238" s="8" t="s">
        <v>224</v>
      </c>
      <c r="D238" s="8" t="s">
        <v>196</v>
      </c>
      <c r="E238" s="115"/>
      <c r="F238" s="115"/>
      <c r="G238" s="70">
        <f>G239+G249+G260</f>
        <v>53815.5</v>
      </c>
      <c r="H238" s="70">
        <f>H239+H249+H260</f>
        <v>0</v>
      </c>
      <c r="I238" s="70">
        <f t="shared" si="44"/>
        <v>53815.5</v>
      </c>
      <c r="J238" s="70">
        <f>J239+J249+J260</f>
        <v>1675.6999999999998</v>
      </c>
      <c r="K238" s="87">
        <f t="shared" si="45"/>
        <v>55491.2</v>
      </c>
      <c r="L238" s="13">
        <f>L239+L249+L260</f>
        <v>-642.5</v>
      </c>
      <c r="M238" s="87">
        <f t="shared" si="56"/>
        <v>54848.7</v>
      </c>
      <c r="N238" s="13">
        <f>N239+N249+N260</f>
        <v>41.6</v>
      </c>
      <c r="O238" s="87">
        <f t="shared" si="57"/>
        <v>54890.299999999996</v>
      </c>
      <c r="P238" s="13">
        <f>P239+P249+P260</f>
        <v>0</v>
      </c>
      <c r="Q238" s="87">
        <f t="shared" si="53"/>
        <v>54890.299999999996</v>
      </c>
      <c r="R238" s="13">
        <f>R239+R249+R260</f>
        <v>-3457</v>
      </c>
      <c r="S238" s="87">
        <f t="shared" si="54"/>
        <v>51433.299999999996</v>
      </c>
    </row>
    <row r="239" spans="1:19" s="91" customFormat="1" ht="33">
      <c r="A239" s="62" t="str">
        <f ca="1">IF(ISERROR(MATCH(E239,Код_КЦСР,0)),"",INDIRECT(ADDRESS(MATCH(E239,Код_КЦСР,0)+1,2,,,"КЦСР")))</f>
        <v>Муниципальная программа «iCity – Современные информационные технологии г. Череповца»  на 2014-2020 годы</v>
      </c>
      <c r="B239" s="115">
        <v>801</v>
      </c>
      <c r="C239" s="8" t="s">
        <v>224</v>
      </c>
      <c r="D239" s="8" t="s">
        <v>196</v>
      </c>
      <c r="E239" s="115" t="s">
        <v>592</v>
      </c>
      <c r="F239" s="115"/>
      <c r="G239" s="70">
        <f>G240+G244</f>
        <v>46345.3</v>
      </c>
      <c r="H239" s="70">
        <f>H240+H244</f>
        <v>0</v>
      </c>
      <c r="I239" s="70">
        <f t="shared" si="44"/>
        <v>46345.3</v>
      </c>
      <c r="J239" s="70">
        <f>J240+J244</f>
        <v>2175.7</v>
      </c>
      <c r="K239" s="87">
        <f t="shared" si="45"/>
        <v>48521</v>
      </c>
      <c r="L239" s="13">
        <f>L240+L244</f>
        <v>-642.5</v>
      </c>
      <c r="M239" s="87">
        <f t="shared" si="56"/>
        <v>47878.5</v>
      </c>
      <c r="N239" s="13">
        <f>N240+N244</f>
        <v>41.6</v>
      </c>
      <c r="O239" s="87">
        <f t="shared" si="57"/>
        <v>47920.1</v>
      </c>
      <c r="P239" s="13">
        <f>P240+P244</f>
        <v>1200</v>
      </c>
      <c r="Q239" s="87">
        <f t="shared" si="53"/>
        <v>49120.1</v>
      </c>
      <c r="R239" s="13">
        <f>R240+R244</f>
        <v>0</v>
      </c>
      <c r="S239" s="87">
        <f t="shared" si="54"/>
        <v>49120.1</v>
      </c>
    </row>
    <row r="240" spans="1:19" s="91" customFormat="1" ht="49.5">
      <c r="A240" s="62" t="str">
        <f ca="1">IF(ISERROR(MATCH(E240,Код_КЦСР,0)),"",INDIRECT(ADDRESS(MATCH(E240,Код_КЦСР,0)+1,2,,,"КЦСР")))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40" s="115">
        <v>801</v>
      </c>
      <c r="C240" s="8" t="s">
        <v>224</v>
      </c>
      <c r="D240" s="8" t="s">
        <v>196</v>
      </c>
      <c r="E240" s="115" t="s">
        <v>594</v>
      </c>
      <c r="F240" s="115"/>
      <c r="G240" s="70">
        <f aca="true" t="shared" si="59" ref="G240:R242">G241</f>
        <v>736</v>
      </c>
      <c r="H240" s="70">
        <f t="shared" si="59"/>
        <v>0</v>
      </c>
      <c r="I240" s="70">
        <f t="shared" si="44"/>
        <v>736</v>
      </c>
      <c r="J240" s="70">
        <f t="shared" si="59"/>
        <v>500</v>
      </c>
      <c r="K240" s="87">
        <f t="shared" si="45"/>
        <v>1236</v>
      </c>
      <c r="L240" s="13">
        <f t="shared" si="59"/>
        <v>0</v>
      </c>
      <c r="M240" s="87">
        <f t="shared" si="56"/>
        <v>1236</v>
      </c>
      <c r="N240" s="13">
        <f t="shared" si="59"/>
        <v>0</v>
      </c>
      <c r="O240" s="87">
        <f t="shared" si="57"/>
        <v>1236</v>
      </c>
      <c r="P240" s="13">
        <f t="shared" si="59"/>
        <v>0</v>
      </c>
      <c r="Q240" s="87">
        <f t="shared" si="53"/>
        <v>1236</v>
      </c>
      <c r="R240" s="13">
        <f t="shared" si="59"/>
        <v>0</v>
      </c>
      <c r="S240" s="87">
        <f t="shared" si="54"/>
        <v>1236</v>
      </c>
    </row>
    <row r="241" spans="1:19" s="91" customFormat="1" ht="33">
      <c r="A241" s="62" t="str">
        <f ca="1">IF(ISERROR(MATCH(F241,Код_КВР,0)),"",INDIRECT(ADDRESS(MATCH(F241,Код_КВР,0)+1,2,,,"КВР")))</f>
        <v>Предоставление субсидий бюджетным, автономным учреждениям и иным некоммерческим организациям</v>
      </c>
      <c r="B241" s="115">
        <v>801</v>
      </c>
      <c r="C241" s="8" t="s">
        <v>224</v>
      </c>
      <c r="D241" s="8" t="s">
        <v>196</v>
      </c>
      <c r="E241" s="115" t="s">
        <v>594</v>
      </c>
      <c r="F241" s="115">
        <v>600</v>
      </c>
      <c r="G241" s="70">
        <f t="shared" si="59"/>
        <v>736</v>
      </c>
      <c r="H241" s="70">
        <f t="shared" si="59"/>
        <v>0</v>
      </c>
      <c r="I241" s="70">
        <f t="shared" si="44"/>
        <v>736</v>
      </c>
      <c r="J241" s="70">
        <f t="shared" si="59"/>
        <v>500</v>
      </c>
      <c r="K241" s="87">
        <f t="shared" si="45"/>
        <v>1236</v>
      </c>
      <c r="L241" s="13">
        <f t="shared" si="59"/>
        <v>0</v>
      </c>
      <c r="M241" s="87">
        <f t="shared" si="56"/>
        <v>1236</v>
      </c>
      <c r="N241" s="13">
        <f t="shared" si="59"/>
        <v>0</v>
      </c>
      <c r="O241" s="87">
        <f t="shared" si="57"/>
        <v>1236</v>
      </c>
      <c r="P241" s="13">
        <f t="shared" si="59"/>
        <v>0</v>
      </c>
      <c r="Q241" s="87">
        <f t="shared" si="53"/>
        <v>1236</v>
      </c>
      <c r="R241" s="13">
        <f t="shared" si="59"/>
        <v>0</v>
      </c>
      <c r="S241" s="87">
        <f t="shared" si="54"/>
        <v>1236</v>
      </c>
    </row>
    <row r="242" spans="1:19" s="91" customFormat="1" ht="12.75">
      <c r="A242" s="62" t="str">
        <f ca="1">IF(ISERROR(MATCH(F242,Код_КВР,0)),"",INDIRECT(ADDRESS(MATCH(F242,Код_КВР,0)+1,2,,,"КВР")))</f>
        <v>Субсидии бюджетным учреждениям</v>
      </c>
      <c r="B242" s="115">
        <v>801</v>
      </c>
      <c r="C242" s="8" t="s">
        <v>224</v>
      </c>
      <c r="D242" s="8" t="s">
        <v>196</v>
      </c>
      <c r="E242" s="115" t="s">
        <v>594</v>
      </c>
      <c r="F242" s="115">
        <v>610</v>
      </c>
      <c r="G242" s="70">
        <f t="shared" si="59"/>
        <v>736</v>
      </c>
      <c r="H242" s="70">
        <f t="shared" si="59"/>
        <v>0</v>
      </c>
      <c r="I242" s="70">
        <f t="shared" si="44"/>
        <v>736</v>
      </c>
      <c r="J242" s="70">
        <f t="shared" si="59"/>
        <v>500</v>
      </c>
      <c r="K242" s="87">
        <f t="shared" si="45"/>
        <v>1236</v>
      </c>
      <c r="L242" s="13">
        <f t="shared" si="59"/>
        <v>0</v>
      </c>
      <c r="M242" s="87">
        <f t="shared" si="56"/>
        <v>1236</v>
      </c>
      <c r="N242" s="13">
        <f t="shared" si="59"/>
        <v>0</v>
      </c>
      <c r="O242" s="87">
        <f t="shared" si="57"/>
        <v>1236</v>
      </c>
      <c r="P242" s="13">
        <f t="shared" si="59"/>
        <v>0</v>
      </c>
      <c r="Q242" s="87">
        <f t="shared" si="53"/>
        <v>1236</v>
      </c>
      <c r="R242" s="13">
        <f t="shared" si="59"/>
        <v>0</v>
      </c>
      <c r="S242" s="87">
        <f t="shared" si="54"/>
        <v>1236</v>
      </c>
    </row>
    <row r="243" spans="1:19" s="91" customFormat="1" ht="12.75">
      <c r="A243" s="62" t="str">
        <f ca="1">IF(ISERROR(MATCH(F243,Код_КВР,0)),"",INDIRECT(ADDRESS(MATCH(F243,Код_КВР,0)+1,2,,,"КВР")))</f>
        <v>Субсидии бюджетным учреждениям на иные цели</v>
      </c>
      <c r="B243" s="115">
        <v>801</v>
      </c>
      <c r="C243" s="8" t="s">
        <v>224</v>
      </c>
      <c r="D243" s="8" t="s">
        <v>196</v>
      </c>
      <c r="E243" s="115" t="s">
        <v>594</v>
      </c>
      <c r="F243" s="115">
        <v>612</v>
      </c>
      <c r="G243" s="70">
        <v>736</v>
      </c>
      <c r="H243" s="70"/>
      <c r="I243" s="70">
        <f aca="true" t="shared" si="60" ref="I243:I309">G243+H243</f>
        <v>736</v>
      </c>
      <c r="J243" s="70">
        <v>500</v>
      </c>
      <c r="K243" s="87">
        <f aca="true" t="shared" si="61" ref="K243:K309">I243+J243</f>
        <v>1236</v>
      </c>
      <c r="L243" s="13"/>
      <c r="M243" s="87">
        <f t="shared" si="56"/>
        <v>1236</v>
      </c>
      <c r="N243" s="13"/>
      <c r="O243" s="87">
        <f t="shared" si="57"/>
        <v>1236</v>
      </c>
      <c r="P243" s="13"/>
      <c r="Q243" s="87">
        <f t="shared" si="53"/>
        <v>1236</v>
      </c>
      <c r="R243" s="13"/>
      <c r="S243" s="87">
        <f t="shared" si="54"/>
        <v>1236</v>
      </c>
    </row>
    <row r="244" spans="1:19" s="91" customFormat="1" ht="75.95" customHeight="1">
      <c r="A244" s="62" t="str">
        <f ca="1">IF(ISERROR(MATCH(E244,Код_КЦСР,0)),"",INDIRECT(ADDRESS(MATCH(E244,Код_КЦСР,0)+1,2,,,"КЦСР")))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44" s="115">
        <v>801</v>
      </c>
      <c r="C244" s="8" t="s">
        <v>224</v>
      </c>
      <c r="D244" s="8" t="s">
        <v>196</v>
      </c>
      <c r="E244" s="115" t="s">
        <v>595</v>
      </c>
      <c r="F244" s="115"/>
      <c r="G244" s="70">
        <f>G245</f>
        <v>45609.3</v>
      </c>
      <c r="H244" s="70">
        <f>H245</f>
        <v>0</v>
      </c>
      <c r="I244" s="70">
        <f t="shared" si="60"/>
        <v>45609.3</v>
      </c>
      <c r="J244" s="70">
        <f>J245</f>
        <v>1675.7</v>
      </c>
      <c r="K244" s="87">
        <f t="shared" si="61"/>
        <v>47285</v>
      </c>
      <c r="L244" s="13">
        <f>L245</f>
        <v>-642.5</v>
      </c>
      <c r="M244" s="87">
        <f t="shared" si="56"/>
        <v>46642.5</v>
      </c>
      <c r="N244" s="13">
        <f>N245</f>
        <v>41.6</v>
      </c>
      <c r="O244" s="87">
        <f t="shared" si="57"/>
        <v>46684.1</v>
      </c>
      <c r="P244" s="13">
        <f>P245</f>
        <v>1200</v>
      </c>
      <c r="Q244" s="87">
        <f t="shared" si="53"/>
        <v>47884.1</v>
      </c>
      <c r="R244" s="13">
        <f>R245</f>
        <v>0</v>
      </c>
      <c r="S244" s="87">
        <f t="shared" si="54"/>
        <v>47884.1</v>
      </c>
    </row>
    <row r="245" spans="1:19" s="91" customFormat="1" ht="33">
      <c r="A245" s="62" t="str">
        <f ca="1">IF(ISERROR(MATCH(F245,Код_КВР,0)),"",INDIRECT(ADDRESS(MATCH(F245,Код_КВР,0)+1,2,,,"КВР")))</f>
        <v>Предоставление субсидий бюджетным, автономным учреждениям и иным некоммерческим организациям</v>
      </c>
      <c r="B245" s="115">
        <v>801</v>
      </c>
      <c r="C245" s="8" t="s">
        <v>224</v>
      </c>
      <c r="D245" s="8" t="s">
        <v>196</v>
      </c>
      <c r="E245" s="115" t="s">
        <v>595</v>
      </c>
      <c r="F245" s="115">
        <v>600</v>
      </c>
      <c r="G245" s="70">
        <f>G246</f>
        <v>45609.3</v>
      </c>
      <c r="H245" s="70">
        <f>H246</f>
        <v>0</v>
      </c>
      <c r="I245" s="70">
        <f t="shared" si="60"/>
        <v>45609.3</v>
      </c>
      <c r="J245" s="70">
        <f>J246</f>
        <v>1675.7</v>
      </c>
      <c r="K245" s="87">
        <f t="shared" si="61"/>
        <v>47285</v>
      </c>
      <c r="L245" s="13">
        <f>L246</f>
        <v>-642.5</v>
      </c>
      <c r="M245" s="87">
        <f t="shared" si="56"/>
        <v>46642.5</v>
      </c>
      <c r="N245" s="13">
        <f>N246</f>
        <v>41.6</v>
      </c>
      <c r="O245" s="87">
        <f t="shared" si="57"/>
        <v>46684.1</v>
      </c>
      <c r="P245" s="13">
        <f>P246</f>
        <v>1200</v>
      </c>
      <c r="Q245" s="87">
        <f t="shared" si="53"/>
        <v>47884.1</v>
      </c>
      <c r="R245" s="13">
        <f>R246</f>
        <v>0</v>
      </c>
      <c r="S245" s="87">
        <f t="shared" si="54"/>
        <v>47884.1</v>
      </c>
    </row>
    <row r="246" spans="1:19" s="91" customFormat="1" ht="12.75">
      <c r="A246" s="62" t="str">
        <f ca="1">IF(ISERROR(MATCH(F246,Код_КВР,0)),"",INDIRECT(ADDRESS(MATCH(F246,Код_КВР,0)+1,2,,,"КВР")))</f>
        <v>Субсидии бюджетным учреждениям</v>
      </c>
      <c r="B246" s="115">
        <v>801</v>
      </c>
      <c r="C246" s="8" t="s">
        <v>224</v>
      </c>
      <c r="D246" s="8" t="s">
        <v>196</v>
      </c>
      <c r="E246" s="115" t="s">
        <v>595</v>
      </c>
      <c r="F246" s="115">
        <v>610</v>
      </c>
      <c r="G246" s="70">
        <f>SUM(G247:G248)</f>
        <v>45609.3</v>
      </c>
      <c r="H246" s="70">
        <f>SUM(H247:H248)</f>
        <v>0</v>
      </c>
      <c r="I246" s="70">
        <f t="shared" si="60"/>
        <v>45609.3</v>
      </c>
      <c r="J246" s="70">
        <f>SUM(J247:J248)</f>
        <v>1675.7</v>
      </c>
      <c r="K246" s="87">
        <f t="shared" si="61"/>
        <v>47285</v>
      </c>
      <c r="L246" s="13">
        <f>SUM(L247:L248)</f>
        <v>-642.5</v>
      </c>
      <c r="M246" s="87">
        <f t="shared" si="56"/>
        <v>46642.5</v>
      </c>
      <c r="N246" s="13">
        <f>SUM(N247:N248)</f>
        <v>41.6</v>
      </c>
      <c r="O246" s="87">
        <f t="shared" si="57"/>
        <v>46684.1</v>
      </c>
      <c r="P246" s="13">
        <f>SUM(P247:P248)</f>
        <v>1200</v>
      </c>
      <c r="Q246" s="87">
        <f t="shared" si="53"/>
        <v>47884.1</v>
      </c>
      <c r="R246" s="13">
        <f>SUM(R247:R248)</f>
        <v>0</v>
      </c>
      <c r="S246" s="87">
        <f t="shared" si="54"/>
        <v>47884.1</v>
      </c>
    </row>
    <row r="247" spans="1:19" s="91" customFormat="1" ht="49.5">
      <c r="A247" s="62" t="str">
        <f ca="1">IF(ISERROR(MATCH(F247,Код_КВР,0)),"",INDIRECT(ADDRESS(MATCH(F247,Код_КВР,0)+1,2,,,"КВР")))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7" s="115">
        <v>801</v>
      </c>
      <c r="C247" s="8" t="s">
        <v>224</v>
      </c>
      <c r="D247" s="8" t="s">
        <v>196</v>
      </c>
      <c r="E247" s="115" t="s">
        <v>595</v>
      </c>
      <c r="F247" s="115">
        <v>611</v>
      </c>
      <c r="G247" s="70">
        <v>42162.3</v>
      </c>
      <c r="H247" s="70"/>
      <c r="I247" s="70">
        <f t="shared" si="60"/>
        <v>42162.3</v>
      </c>
      <c r="J247" s="70">
        <f>1411.7+134</f>
        <v>1545.7</v>
      </c>
      <c r="K247" s="87">
        <f t="shared" si="61"/>
        <v>43708</v>
      </c>
      <c r="L247" s="13">
        <f>-247.9-394.6</f>
        <v>-642.5</v>
      </c>
      <c r="M247" s="87">
        <f t="shared" si="56"/>
        <v>43065.5</v>
      </c>
      <c r="N247" s="13"/>
      <c r="O247" s="87">
        <f t="shared" si="57"/>
        <v>43065.5</v>
      </c>
      <c r="P247" s="13"/>
      <c r="Q247" s="87">
        <f t="shared" si="53"/>
        <v>43065.5</v>
      </c>
      <c r="R247" s="13"/>
      <c r="S247" s="87">
        <f t="shared" si="54"/>
        <v>43065.5</v>
      </c>
    </row>
    <row r="248" spans="1:20" s="91" customFormat="1" ht="12.75">
      <c r="A248" s="62" t="str">
        <f ca="1">IF(ISERROR(MATCH(F248,Код_КВР,0)),"",INDIRECT(ADDRESS(MATCH(F248,Код_КВР,0)+1,2,,,"КВР")))</f>
        <v>Субсидии бюджетным учреждениям на иные цели</v>
      </c>
      <c r="B248" s="115">
        <v>801</v>
      </c>
      <c r="C248" s="8" t="s">
        <v>224</v>
      </c>
      <c r="D248" s="8" t="s">
        <v>196</v>
      </c>
      <c r="E248" s="115" t="s">
        <v>595</v>
      </c>
      <c r="F248" s="115">
        <v>612</v>
      </c>
      <c r="G248" s="70">
        <v>3447</v>
      </c>
      <c r="H248" s="70"/>
      <c r="I248" s="70">
        <f t="shared" si="60"/>
        <v>3447</v>
      </c>
      <c r="J248" s="70">
        <v>130</v>
      </c>
      <c r="K248" s="87">
        <f t="shared" si="61"/>
        <v>3577</v>
      </c>
      <c r="L248" s="13"/>
      <c r="M248" s="87">
        <f t="shared" si="56"/>
        <v>3577</v>
      </c>
      <c r="N248" s="13">
        <v>41.6</v>
      </c>
      <c r="O248" s="87">
        <f t="shared" si="57"/>
        <v>3618.6</v>
      </c>
      <c r="P248" s="13">
        <v>1200</v>
      </c>
      <c r="Q248" s="87">
        <f t="shared" si="53"/>
        <v>4818.6</v>
      </c>
      <c r="R248" s="13"/>
      <c r="S248" s="87">
        <f t="shared" si="54"/>
        <v>4818.6</v>
      </c>
      <c r="T248" s="136"/>
    </row>
    <row r="249" spans="1:19" s="91" customFormat="1" ht="33">
      <c r="A249" s="62" t="str">
        <f ca="1">IF(ISERROR(MATCH(E249,Код_КЦСР,0)),"",INDIRECT(ADDRESS(MATCH(E249,Код_КЦСР,0)+1,2,,,"КЦСР")))</f>
        <v>Муниципальная программа «Совершенствование муниципального управления в городе Череповце» на 2014-2018 годы</v>
      </c>
      <c r="B249" s="115">
        <v>801</v>
      </c>
      <c r="C249" s="8" t="s">
        <v>224</v>
      </c>
      <c r="D249" s="8" t="s">
        <v>196</v>
      </c>
      <c r="E249" s="115" t="s">
        <v>126</v>
      </c>
      <c r="F249" s="115"/>
      <c r="G249" s="70">
        <f>G250+G255</f>
        <v>6170</v>
      </c>
      <c r="H249" s="70">
        <f>H250+H255</f>
        <v>0</v>
      </c>
      <c r="I249" s="70">
        <f t="shared" si="60"/>
        <v>6170</v>
      </c>
      <c r="J249" s="70">
        <f>J250+J255</f>
        <v>-500</v>
      </c>
      <c r="K249" s="87">
        <f t="shared" si="61"/>
        <v>5670</v>
      </c>
      <c r="L249" s="13">
        <f>L250+L255</f>
        <v>0</v>
      </c>
      <c r="M249" s="87">
        <f t="shared" si="56"/>
        <v>5670</v>
      </c>
      <c r="N249" s="13">
        <f>N250+N255</f>
        <v>0</v>
      </c>
      <c r="O249" s="87">
        <f t="shared" si="57"/>
        <v>5670</v>
      </c>
      <c r="P249" s="13">
        <f>P250+P255</f>
        <v>-1200</v>
      </c>
      <c r="Q249" s="87">
        <f t="shared" si="53"/>
        <v>4470</v>
      </c>
      <c r="R249" s="13">
        <f>R250+R255</f>
        <v>-3457</v>
      </c>
      <c r="S249" s="87">
        <f t="shared" si="54"/>
        <v>1013</v>
      </c>
    </row>
    <row r="250" spans="1:19" s="91" customFormat="1" ht="33">
      <c r="A250" s="62" t="str">
        <f ca="1">IF(ISERROR(MATCH(E250,Код_КЦСР,0)),"",INDIRECT(ADDRESS(MATCH(E250,Код_КЦСР,0)+1,2,,,"КЦСР")))</f>
        <v>Создание условий для обеспечения выполнения органами муниципальной власти своих полномочий</v>
      </c>
      <c r="B250" s="115">
        <v>801</v>
      </c>
      <c r="C250" s="8" t="s">
        <v>224</v>
      </c>
      <c r="D250" s="8" t="s">
        <v>196</v>
      </c>
      <c r="E250" s="115" t="s">
        <v>127</v>
      </c>
      <c r="F250" s="115"/>
      <c r="G250" s="70">
        <f aca="true" t="shared" si="62" ref="G250:R253">G251</f>
        <v>290</v>
      </c>
      <c r="H250" s="70">
        <f t="shared" si="62"/>
        <v>0</v>
      </c>
      <c r="I250" s="70">
        <f t="shared" si="60"/>
        <v>290</v>
      </c>
      <c r="J250" s="70">
        <f t="shared" si="62"/>
        <v>0</v>
      </c>
      <c r="K250" s="87">
        <f t="shared" si="61"/>
        <v>290</v>
      </c>
      <c r="L250" s="13">
        <f t="shared" si="62"/>
        <v>0</v>
      </c>
      <c r="M250" s="87">
        <f t="shared" si="56"/>
        <v>290</v>
      </c>
      <c r="N250" s="13">
        <f t="shared" si="62"/>
        <v>0</v>
      </c>
      <c r="O250" s="87">
        <f t="shared" si="57"/>
        <v>290</v>
      </c>
      <c r="P250" s="13">
        <f t="shared" si="62"/>
        <v>0</v>
      </c>
      <c r="Q250" s="87">
        <f t="shared" si="53"/>
        <v>290</v>
      </c>
      <c r="R250" s="13">
        <f t="shared" si="62"/>
        <v>0</v>
      </c>
      <c r="S250" s="87">
        <f t="shared" si="54"/>
        <v>290</v>
      </c>
    </row>
    <row r="251" spans="1:19" s="91" customFormat="1" ht="12.75">
      <c r="A251" s="62" t="str">
        <f ca="1">IF(ISERROR(MATCH(E251,Код_КЦСР,0)),"",INDIRECT(ADDRESS(MATCH(E251,Код_КЦСР,0)+1,2,,,"КЦСР")))</f>
        <v>Обеспечение работы СЭД «Летограф»</v>
      </c>
      <c r="B251" s="115">
        <v>801</v>
      </c>
      <c r="C251" s="8" t="s">
        <v>224</v>
      </c>
      <c r="D251" s="8" t="s">
        <v>196</v>
      </c>
      <c r="E251" s="115" t="s">
        <v>129</v>
      </c>
      <c r="F251" s="115"/>
      <c r="G251" s="70">
        <f t="shared" si="62"/>
        <v>290</v>
      </c>
      <c r="H251" s="70">
        <f t="shared" si="62"/>
        <v>0</v>
      </c>
      <c r="I251" s="70">
        <f t="shared" si="60"/>
        <v>290</v>
      </c>
      <c r="J251" s="70">
        <f t="shared" si="62"/>
        <v>0</v>
      </c>
      <c r="K251" s="87">
        <f t="shared" si="61"/>
        <v>290</v>
      </c>
      <c r="L251" s="13">
        <f t="shared" si="62"/>
        <v>0</v>
      </c>
      <c r="M251" s="87">
        <f t="shared" si="56"/>
        <v>290</v>
      </c>
      <c r="N251" s="13">
        <f t="shared" si="62"/>
        <v>0</v>
      </c>
      <c r="O251" s="87">
        <f t="shared" si="57"/>
        <v>290</v>
      </c>
      <c r="P251" s="13">
        <f t="shared" si="62"/>
        <v>0</v>
      </c>
      <c r="Q251" s="87">
        <f t="shared" si="53"/>
        <v>290</v>
      </c>
      <c r="R251" s="13">
        <f t="shared" si="62"/>
        <v>0</v>
      </c>
      <c r="S251" s="87">
        <f t="shared" si="54"/>
        <v>290</v>
      </c>
    </row>
    <row r="252" spans="1:19" s="91" customFormat="1" ht="33">
      <c r="A252" s="62" t="str">
        <f ca="1">IF(ISERROR(MATCH(F252,Код_КВР,0)),"",INDIRECT(ADDRESS(MATCH(F252,Код_КВР,0)+1,2,,,"КВР")))</f>
        <v>Предоставление субсидий бюджетным, автономным учреждениям и иным некоммерческим организациям</v>
      </c>
      <c r="B252" s="115">
        <v>801</v>
      </c>
      <c r="C252" s="8" t="s">
        <v>224</v>
      </c>
      <c r="D252" s="8" t="s">
        <v>196</v>
      </c>
      <c r="E252" s="115" t="s">
        <v>129</v>
      </c>
      <c r="F252" s="115">
        <v>600</v>
      </c>
      <c r="G252" s="70">
        <f t="shared" si="62"/>
        <v>290</v>
      </c>
      <c r="H252" s="70">
        <f t="shared" si="62"/>
        <v>0</v>
      </c>
      <c r="I252" s="70">
        <f t="shared" si="60"/>
        <v>290</v>
      </c>
      <c r="J252" s="70">
        <f t="shared" si="62"/>
        <v>0</v>
      </c>
      <c r="K252" s="87">
        <f t="shared" si="61"/>
        <v>290</v>
      </c>
      <c r="L252" s="13">
        <f t="shared" si="62"/>
        <v>0</v>
      </c>
      <c r="M252" s="87">
        <f t="shared" si="56"/>
        <v>290</v>
      </c>
      <c r="N252" s="13">
        <f t="shared" si="62"/>
        <v>0</v>
      </c>
      <c r="O252" s="87">
        <f t="shared" si="57"/>
        <v>290</v>
      </c>
      <c r="P252" s="13">
        <f t="shared" si="62"/>
        <v>0</v>
      </c>
      <c r="Q252" s="87">
        <f t="shared" si="53"/>
        <v>290</v>
      </c>
      <c r="R252" s="13">
        <f t="shared" si="62"/>
        <v>0</v>
      </c>
      <c r="S252" s="87">
        <f t="shared" si="54"/>
        <v>290</v>
      </c>
    </row>
    <row r="253" spans="1:19" s="91" customFormat="1" ht="12.75">
      <c r="A253" s="62" t="str">
        <f ca="1">IF(ISERROR(MATCH(F253,Код_КВР,0)),"",INDIRECT(ADDRESS(MATCH(F253,Код_КВР,0)+1,2,,,"КВР")))</f>
        <v>Субсидии бюджетным учреждениям</v>
      </c>
      <c r="B253" s="115">
        <v>801</v>
      </c>
      <c r="C253" s="8" t="s">
        <v>224</v>
      </c>
      <c r="D253" s="8" t="s">
        <v>196</v>
      </c>
      <c r="E253" s="115" t="s">
        <v>129</v>
      </c>
      <c r="F253" s="115">
        <v>610</v>
      </c>
      <c r="G253" s="70">
        <f t="shared" si="62"/>
        <v>290</v>
      </c>
      <c r="H253" s="70">
        <f t="shared" si="62"/>
        <v>0</v>
      </c>
      <c r="I253" s="70">
        <f>G253+H253</f>
        <v>290</v>
      </c>
      <c r="J253" s="70">
        <f t="shared" si="62"/>
        <v>0</v>
      </c>
      <c r="K253" s="87">
        <f t="shared" si="61"/>
        <v>290</v>
      </c>
      <c r="L253" s="13">
        <f t="shared" si="62"/>
        <v>0</v>
      </c>
      <c r="M253" s="87">
        <f t="shared" si="56"/>
        <v>290</v>
      </c>
      <c r="N253" s="13">
        <f t="shared" si="62"/>
        <v>0</v>
      </c>
      <c r="O253" s="87">
        <f t="shared" si="57"/>
        <v>290</v>
      </c>
      <c r="P253" s="13">
        <f t="shared" si="62"/>
        <v>0</v>
      </c>
      <c r="Q253" s="87">
        <f t="shared" si="53"/>
        <v>290</v>
      </c>
      <c r="R253" s="13">
        <f t="shared" si="62"/>
        <v>0</v>
      </c>
      <c r="S253" s="87">
        <f t="shared" si="54"/>
        <v>290</v>
      </c>
    </row>
    <row r="254" spans="1:19" s="91" customFormat="1" ht="12.75">
      <c r="A254" s="62" t="str">
        <f ca="1">IF(ISERROR(MATCH(F254,Код_КВР,0)),"",INDIRECT(ADDRESS(MATCH(F254,Код_КВР,0)+1,2,,,"КВР")))</f>
        <v>Субсидии бюджетным учреждениям на иные цели</v>
      </c>
      <c r="B254" s="115">
        <v>801</v>
      </c>
      <c r="C254" s="8" t="s">
        <v>224</v>
      </c>
      <c r="D254" s="8" t="s">
        <v>196</v>
      </c>
      <c r="E254" s="115" t="s">
        <v>129</v>
      </c>
      <c r="F254" s="115">
        <v>612</v>
      </c>
      <c r="G254" s="70">
        <v>290</v>
      </c>
      <c r="H254" s="70"/>
      <c r="I254" s="70">
        <f t="shared" si="60"/>
        <v>290</v>
      </c>
      <c r="J254" s="70"/>
      <c r="K254" s="87">
        <f t="shared" si="61"/>
        <v>290</v>
      </c>
      <c r="L254" s="13"/>
      <c r="M254" s="87">
        <f t="shared" si="56"/>
        <v>290</v>
      </c>
      <c r="N254" s="13"/>
      <c r="O254" s="87">
        <f t="shared" si="57"/>
        <v>290</v>
      </c>
      <c r="P254" s="13"/>
      <c r="Q254" s="87">
        <f t="shared" si="53"/>
        <v>290</v>
      </c>
      <c r="R254" s="13"/>
      <c r="S254" s="87">
        <f t="shared" si="54"/>
        <v>290</v>
      </c>
    </row>
    <row r="255" spans="1:19" s="91" customFormat="1" ht="53.25" customHeight="1">
      <c r="A255" s="62" t="str">
        <f ca="1">IF(ISERROR(MATCH(E255,Код_КЦСР,0)),"",INDIRECT(ADDRESS(MATCH(E255,Код_КЦСР,0)+1,2,,,"КЦСР")))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55" s="115">
        <v>801</v>
      </c>
      <c r="C255" s="8" t="s">
        <v>224</v>
      </c>
      <c r="D255" s="8" t="s">
        <v>196</v>
      </c>
      <c r="E255" s="115" t="s">
        <v>138</v>
      </c>
      <c r="F255" s="115"/>
      <c r="G255" s="70">
        <f aca="true" t="shared" si="63" ref="G255:R258">G256</f>
        <v>5880</v>
      </c>
      <c r="H255" s="70">
        <f t="shared" si="63"/>
        <v>0</v>
      </c>
      <c r="I255" s="70">
        <f t="shared" si="60"/>
        <v>5880</v>
      </c>
      <c r="J255" s="70">
        <f t="shared" si="63"/>
        <v>-500</v>
      </c>
      <c r="K255" s="87">
        <f t="shared" si="61"/>
        <v>5380</v>
      </c>
      <c r="L255" s="13">
        <f t="shared" si="63"/>
        <v>0</v>
      </c>
      <c r="M255" s="87">
        <f t="shared" si="56"/>
        <v>5380</v>
      </c>
      <c r="N255" s="13">
        <f t="shared" si="63"/>
        <v>0</v>
      </c>
      <c r="O255" s="87">
        <f t="shared" si="57"/>
        <v>5380</v>
      </c>
      <c r="P255" s="13">
        <f t="shared" si="63"/>
        <v>-1200</v>
      </c>
      <c r="Q255" s="87">
        <f t="shared" si="53"/>
        <v>4180</v>
      </c>
      <c r="R255" s="13">
        <f t="shared" si="63"/>
        <v>-3457</v>
      </c>
      <c r="S255" s="87">
        <f t="shared" si="54"/>
        <v>723</v>
      </c>
    </row>
    <row r="256" spans="1:19" s="91" customFormat="1" ht="21" customHeight="1">
      <c r="A256" s="62" t="str">
        <f ca="1">IF(ISERROR(MATCH(E256,Код_КЦСР,0)),"",INDIRECT(ADDRESS(MATCH(E256,Код_КЦСР,0)+1,2,,,"КЦСР")))</f>
        <v>Совершенствование предоставления муниципальных услуг</v>
      </c>
      <c r="B256" s="115">
        <v>801</v>
      </c>
      <c r="C256" s="8" t="s">
        <v>224</v>
      </c>
      <c r="D256" s="8" t="s">
        <v>196</v>
      </c>
      <c r="E256" s="115" t="s">
        <v>140</v>
      </c>
      <c r="F256" s="115"/>
      <c r="G256" s="70">
        <f t="shared" si="63"/>
        <v>5880</v>
      </c>
      <c r="H256" s="70">
        <f t="shared" si="63"/>
        <v>0</v>
      </c>
      <c r="I256" s="70">
        <f t="shared" si="60"/>
        <v>5880</v>
      </c>
      <c r="J256" s="70">
        <f t="shared" si="63"/>
        <v>-500</v>
      </c>
      <c r="K256" s="87">
        <f t="shared" si="61"/>
        <v>5380</v>
      </c>
      <c r="L256" s="13">
        <f t="shared" si="63"/>
        <v>0</v>
      </c>
      <c r="M256" s="87">
        <f t="shared" si="56"/>
        <v>5380</v>
      </c>
      <c r="N256" s="13">
        <f t="shared" si="63"/>
        <v>0</v>
      </c>
      <c r="O256" s="87">
        <f t="shared" si="57"/>
        <v>5380</v>
      </c>
      <c r="P256" s="13">
        <f t="shared" si="63"/>
        <v>-1200</v>
      </c>
      <c r="Q256" s="87">
        <f t="shared" si="53"/>
        <v>4180</v>
      </c>
      <c r="R256" s="13">
        <f t="shared" si="63"/>
        <v>-3457</v>
      </c>
      <c r="S256" s="87">
        <f t="shared" si="54"/>
        <v>723</v>
      </c>
    </row>
    <row r="257" spans="1:19" s="91" customFormat="1" ht="33">
      <c r="A257" s="62" t="str">
        <f ca="1">IF(ISERROR(MATCH(F257,Код_КВР,0)),"",INDIRECT(ADDRESS(MATCH(F257,Код_КВР,0)+1,2,,,"КВР")))</f>
        <v>Предоставление субсидий бюджетным, автономным учреждениям и иным некоммерческим организациям</v>
      </c>
      <c r="B257" s="115">
        <v>801</v>
      </c>
      <c r="C257" s="8" t="s">
        <v>224</v>
      </c>
      <c r="D257" s="8" t="s">
        <v>196</v>
      </c>
      <c r="E257" s="115" t="s">
        <v>140</v>
      </c>
      <c r="F257" s="115">
        <v>600</v>
      </c>
      <c r="G257" s="70">
        <f t="shared" si="63"/>
        <v>5880</v>
      </c>
      <c r="H257" s="70">
        <f t="shared" si="63"/>
        <v>0</v>
      </c>
      <c r="I257" s="70">
        <f t="shared" si="60"/>
        <v>5880</v>
      </c>
      <c r="J257" s="70">
        <f t="shared" si="63"/>
        <v>-500</v>
      </c>
      <c r="K257" s="87">
        <f t="shared" si="61"/>
        <v>5380</v>
      </c>
      <c r="L257" s="13">
        <f t="shared" si="63"/>
        <v>0</v>
      </c>
      <c r="M257" s="87">
        <f t="shared" si="56"/>
        <v>5380</v>
      </c>
      <c r="N257" s="13">
        <f t="shared" si="63"/>
        <v>0</v>
      </c>
      <c r="O257" s="87">
        <f t="shared" si="57"/>
        <v>5380</v>
      </c>
      <c r="P257" s="13">
        <f t="shared" si="63"/>
        <v>-1200</v>
      </c>
      <c r="Q257" s="87">
        <f t="shared" si="53"/>
        <v>4180</v>
      </c>
      <c r="R257" s="13">
        <f t="shared" si="63"/>
        <v>-3457</v>
      </c>
      <c r="S257" s="87">
        <f t="shared" si="54"/>
        <v>723</v>
      </c>
    </row>
    <row r="258" spans="1:19" s="91" customFormat="1" ht="12.75">
      <c r="A258" s="62" t="str">
        <f ca="1">IF(ISERROR(MATCH(F258,Код_КВР,0)),"",INDIRECT(ADDRESS(MATCH(F258,Код_КВР,0)+1,2,,,"КВР")))</f>
        <v>Субсидии бюджетным учреждениям</v>
      </c>
      <c r="B258" s="115">
        <v>801</v>
      </c>
      <c r="C258" s="8" t="s">
        <v>224</v>
      </c>
      <c r="D258" s="8" t="s">
        <v>196</v>
      </c>
      <c r="E258" s="115" t="s">
        <v>140</v>
      </c>
      <c r="F258" s="115">
        <v>610</v>
      </c>
      <c r="G258" s="70">
        <f t="shared" si="63"/>
        <v>5880</v>
      </c>
      <c r="H258" s="70">
        <f t="shared" si="63"/>
        <v>0</v>
      </c>
      <c r="I258" s="70">
        <f t="shared" si="60"/>
        <v>5880</v>
      </c>
      <c r="J258" s="70">
        <f t="shared" si="63"/>
        <v>-500</v>
      </c>
      <c r="K258" s="87">
        <f t="shared" si="61"/>
        <v>5380</v>
      </c>
      <c r="L258" s="13">
        <f t="shared" si="63"/>
        <v>0</v>
      </c>
      <c r="M258" s="87">
        <f t="shared" si="56"/>
        <v>5380</v>
      </c>
      <c r="N258" s="13">
        <f t="shared" si="63"/>
        <v>0</v>
      </c>
      <c r="O258" s="87">
        <f t="shared" si="57"/>
        <v>5380</v>
      </c>
      <c r="P258" s="13">
        <f t="shared" si="63"/>
        <v>-1200</v>
      </c>
      <c r="Q258" s="87">
        <f t="shared" si="53"/>
        <v>4180</v>
      </c>
      <c r="R258" s="13">
        <f t="shared" si="63"/>
        <v>-3457</v>
      </c>
      <c r="S258" s="87">
        <f t="shared" si="54"/>
        <v>723</v>
      </c>
    </row>
    <row r="259" spans="1:19" s="91" customFormat="1" ht="12.75">
      <c r="A259" s="62" t="str">
        <f ca="1">IF(ISERROR(MATCH(F259,Код_КВР,0)),"",INDIRECT(ADDRESS(MATCH(F259,Код_КВР,0)+1,2,,,"КВР")))</f>
        <v>Субсидии бюджетным учреждениям на иные цели</v>
      </c>
      <c r="B259" s="115">
        <v>801</v>
      </c>
      <c r="C259" s="8" t="s">
        <v>224</v>
      </c>
      <c r="D259" s="8" t="s">
        <v>196</v>
      </c>
      <c r="E259" s="115" t="s">
        <v>140</v>
      </c>
      <c r="F259" s="115">
        <v>612</v>
      </c>
      <c r="G259" s="70">
        <v>5880</v>
      </c>
      <c r="H259" s="70"/>
      <c r="I259" s="70">
        <f t="shared" si="60"/>
        <v>5880</v>
      </c>
      <c r="J259" s="70">
        <v>-500</v>
      </c>
      <c r="K259" s="87">
        <f t="shared" si="61"/>
        <v>5380</v>
      </c>
      <c r="L259" s="13"/>
      <c r="M259" s="87">
        <f t="shared" si="56"/>
        <v>5380</v>
      </c>
      <c r="N259" s="13"/>
      <c r="O259" s="87">
        <f t="shared" si="57"/>
        <v>5380</v>
      </c>
      <c r="P259" s="13">
        <v>-1200</v>
      </c>
      <c r="Q259" s="87">
        <f t="shared" si="53"/>
        <v>4180</v>
      </c>
      <c r="R259" s="13">
        <f>-4657+1200</f>
        <v>-3457</v>
      </c>
      <c r="S259" s="87">
        <f t="shared" si="54"/>
        <v>723</v>
      </c>
    </row>
    <row r="260" spans="1:19" s="91" customFormat="1" ht="33">
      <c r="A260" s="62" t="str">
        <f ca="1">IF(ISERROR(MATCH(E260,Код_КЦСР,0)),"",INDIRECT(ADDRESS(MATCH(E260,Код_КЦСР,0)+1,2,,,"КЦСР")))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60" s="115">
        <v>801</v>
      </c>
      <c r="C260" s="8" t="s">
        <v>224</v>
      </c>
      <c r="D260" s="8" t="s">
        <v>196</v>
      </c>
      <c r="E260" s="115" t="s">
        <v>158</v>
      </c>
      <c r="F260" s="115"/>
      <c r="G260" s="70">
        <f>G261</f>
        <v>1300.2</v>
      </c>
      <c r="H260" s="70">
        <f>H261</f>
        <v>0</v>
      </c>
      <c r="I260" s="70">
        <f t="shared" si="60"/>
        <v>1300.2</v>
      </c>
      <c r="J260" s="70">
        <f>J261</f>
        <v>0</v>
      </c>
      <c r="K260" s="87">
        <f t="shared" si="61"/>
        <v>1300.2</v>
      </c>
      <c r="L260" s="13">
        <f>L261</f>
        <v>0</v>
      </c>
      <c r="M260" s="87">
        <f t="shared" si="56"/>
        <v>1300.2</v>
      </c>
      <c r="N260" s="13">
        <f>N261</f>
        <v>0</v>
      </c>
      <c r="O260" s="87">
        <f t="shared" si="57"/>
        <v>1300.2</v>
      </c>
      <c r="P260" s="13">
        <f>P261</f>
        <v>0</v>
      </c>
      <c r="Q260" s="87">
        <f t="shared" si="53"/>
        <v>1300.2</v>
      </c>
      <c r="R260" s="13">
        <f>R261</f>
        <v>0</v>
      </c>
      <c r="S260" s="87">
        <f t="shared" si="54"/>
        <v>1300.2</v>
      </c>
    </row>
    <row r="261" spans="1:19" s="91" customFormat="1" ht="12.75">
      <c r="A261" s="62" t="str">
        <f ca="1">IF(ISERROR(MATCH(E261,Код_КЦСР,0)),"",INDIRECT(ADDRESS(MATCH(E261,Код_КЦСР,0)+1,2,,,"КЦСР")))</f>
        <v>Профилактика преступлений и иных правонарушений в городе Череповце</v>
      </c>
      <c r="B261" s="115">
        <v>801</v>
      </c>
      <c r="C261" s="8" t="s">
        <v>224</v>
      </c>
      <c r="D261" s="8" t="s">
        <v>196</v>
      </c>
      <c r="E261" s="115" t="s">
        <v>160</v>
      </c>
      <c r="F261" s="115"/>
      <c r="G261" s="70">
        <f>G262+G266</f>
        <v>1300.2</v>
      </c>
      <c r="H261" s="70">
        <f>H262+H266</f>
        <v>0</v>
      </c>
      <c r="I261" s="70">
        <f t="shared" si="60"/>
        <v>1300.2</v>
      </c>
      <c r="J261" s="70">
        <f>J262+J266</f>
        <v>0</v>
      </c>
      <c r="K261" s="87">
        <f t="shared" si="61"/>
        <v>1300.2</v>
      </c>
      <c r="L261" s="13">
        <f>L262+L266</f>
        <v>0</v>
      </c>
      <c r="M261" s="87">
        <f t="shared" si="56"/>
        <v>1300.2</v>
      </c>
      <c r="N261" s="13">
        <f>N262+N266</f>
        <v>0</v>
      </c>
      <c r="O261" s="87">
        <f t="shared" si="57"/>
        <v>1300.2</v>
      </c>
      <c r="P261" s="13">
        <f>P262+P266</f>
        <v>0</v>
      </c>
      <c r="Q261" s="87">
        <f t="shared" si="53"/>
        <v>1300.2</v>
      </c>
      <c r="R261" s="13">
        <f>R262+R266</f>
        <v>0</v>
      </c>
      <c r="S261" s="87">
        <f t="shared" si="54"/>
        <v>1300.2</v>
      </c>
    </row>
    <row r="262" spans="1:19" s="91" customFormat="1" ht="49.5">
      <c r="A262" s="62" t="str">
        <f ca="1">IF(ISERROR(MATCH(E262,Код_КЦСР,0)),"",INDIRECT(ADDRESS(MATCH(E262,Код_КЦСР,0)+1,2,,,"КЦСР")))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62" s="115">
        <v>801</v>
      </c>
      <c r="C262" s="8" t="s">
        <v>224</v>
      </c>
      <c r="D262" s="8" t="s">
        <v>196</v>
      </c>
      <c r="E262" s="115" t="s">
        <v>394</v>
      </c>
      <c r="F262" s="115"/>
      <c r="G262" s="70">
        <f aca="true" t="shared" si="64" ref="G262:R264">G263</f>
        <v>65</v>
      </c>
      <c r="H262" s="70">
        <f t="shared" si="64"/>
        <v>0</v>
      </c>
      <c r="I262" s="70">
        <f t="shared" si="60"/>
        <v>65</v>
      </c>
      <c r="J262" s="70">
        <f t="shared" si="64"/>
        <v>0</v>
      </c>
      <c r="K262" s="87">
        <f t="shared" si="61"/>
        <v>65</v>
      </c>
      <c r="L262" s="13">
        <f t="shared" si="64"/>
        <v>0</v>
      </c>
      <c r="M262" s="87">
        <f t="shared" si="56"/>
        <v>65</v>
      </c>
      <c r="N262" s="13">
        <f t="shared" si="64"/>
        <v>0</v>
      </c>
      <c r="O262" s="87">
        <f t="shared" si="57"/>
        <v>65</v>
      </c>
      <c r="P262" s="13">
        <f t="shared" si="64"/>
        <v>0</v>
      </c>
      <c r="Q262" s="87">
        <f t="shared" si="53"/>
        <v>65</v>
      </c>
      <c r="R262" s="13">
        <f t="shared" si="64"/>
        <v>0</v>
      </c>
      <c r="S262" s="87">
        <f t="shared" si="54"/>
        <v>65</v>
      </c>
    </row>
    <row r="263" spans="1:19" s="91" customFormat="1" ht="33">
      <c r="A263" s="62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115">
        <v>801</v>
      </c>
      <c r="C263" s="8" t="s">
        <v>224</v>
      </c>
      <c r="D263" s="8" t="s">
        <v>196</v>
      </c>
      <c r="E263" s="115" t="s">
        <v>394</v>
      </c>
      <c r="F263" s="115">
        <v>600</v>
      </c>
      <c r="G263" s="70">
        <f t="shared" si="64"/>
        <v>65</v>
      </c>
      <c r="H263" s="70">
        <f t="shared" si="64"/>
        <v>0</v>
      </c>
      <c r="I263" s="70">
        <f t="shared" si="60"/>
        <v>65</v>
      </c>
      <c r="J263" s="70">
        <f t="shared" si="64"/>
        <v>0</v>
      </c>
      <c r="K263" s="87">
        <f t="shared" si="61"/>
        <v>65</v>
      </c>
      <c r="L263" s="13">
        <f t="shared" si="64"/>
        <v>0</v>
      </c>
      <c r="M263" s="87">
        <f t="shared" si="56"/>
        <v>65</v>
      </c>
      <c r="N263" s="13">
        <f t="shared" si="64"/>
        <v>0</v>
      </c>
      <c r="O263" s="87">
        <f t="shared" si="57"/>
        <v>65</v>
      </c>
      <c r="P263" s="13">
        <f t="shared" si="64"/>
        <v>0</v>
      </c>
      <c r="Q263" s="87">
        <f t="shared" si="53"/>
        <v>65</v>
      </c>
      <c r="R263" s="13">
        <f t="shared" si="64"/>
        <v>0</v>
      </c>
      <c r="S263" s="87">
        <f t="shared" si="54"/>
        <v>65</v>
      </c>
    </row>
    <row r="264" spans="1:19" s="91" customFormat="1" ht="12.75">
      <c r="A264" s="62" t="str">
        <f ca="1">IF(ISERROR(MATCH(F264,Код_КВР,0)),"",INDIRECT(ADDRESS(MATCH(F264,Код_КВР,0)+1,2,,,"КВР")))</f>
        <v>Субсидии бюджетным учреждениям</v>
      </c>
      <c r="B264" s="115">
        <v>801</v>
      </c>
      <c r="C264" s="8" t="s">
        <v>224</v>
      </c>
      <c r="D264" s="8" t="s">
        <v>196</v>
      </c>
      <c r="E264" s="115" t="s">
        <v>394</v>
      </c>
      <c r="F264" s="115">
        <v>610</v>
      </c>
      <c r="G264" s="70">
        <f t="shared" si="64"/>
        <v>65</v>
      </c>
      <c r="H264" s="70">
        <f t="shared" si="64"/>
        <v>0</v>
      </c>
      <c r="I264" s="70">
        <f t="shared" si="60"/>
        <v>65</v>
      </c>
      <c r="J264" s="70">
        <f t="shared" si="64"/>
        <v>0</v>
      </c>
      <c r="K264" s="87">
        <f t="shared" si="61"/>
        <v>65</v>
      </c>
      <c r="L264" s="13">
        <f t="shared" si="64"/>
        <v>0</v>
      </c>
      <c r="M264" s="87">
        <f t="shared" si="56"/>
        <v>65</v>
      </c>
      <c r="N264" s="13">
        <f t="shared" si="64"/>
        <v>0</v>
      </c>
      <c r="O264" s="87">
        <f t="shared" si="57"/>
        <v>65</v>
      </c>
      <c r="P264" s="13">
        <f t="shared" si="64"/>
        <v>0</v>
      </c>
      <c r="Q264" s="87">
        <f t="shared" si="53"/>
        <v>65</v>
      </c>
      <c r="R264" s="13">
        <f t="shared" si="64"/>
        <v>0</v>
      </c>
      <c r="S264" s="87">
        <f t="shared" si="54"/>
        <v>65</v>
      </c>
    </row>
    <row r="265" spans="1:19" s="91" customFormat="1" ht="12.75">
      <c r="A265" s="62" t="str">
        <f ca="1">IF(ISERROR(MATCH(F265,Код_КВР,0)),"",INDIRECT(ADDRESS(MATCH(F265,Код_КВР,0)+1,2,,,"КВР")))</f>
        <v>Субсидии бюджетным учреждениям на иные цели</v>
      </c>
      <c r="B265" s="115">
        <v>801</v>
      </c>
      <c r="C265" s="8" t="s">
        <v>224</v>
      </c>
      <c r="D265" s="8" t="s">
        <v>196</v>
      </c>
      <c r="E265" s="115" t="s">
        <v>394</v>
      </c>
      <c r="F265" s="115">
        <v>612</v>
      </c>
      <c r="G265" s="70">
        <v>65</v>
      </c>
      <c r="H265" s="70"/>
      <c r="I265" s="70">
        <f t="shared" si="60"/>
        <v>65</v>
      </c>
      <c r="J265" s="70"/>
      <c r="K265" s="87">
        <f t="shared" si="61"/>
        <v>65</v>
      </c>
      <c r="L265" s="13"/>
      <c r="M265" s="87">
        <f t="shared" si="56"/>
        <v>65</v>
      </c>
      <c r="N265" s="13"/>
      <c r="O265" s="87">
        <f t="shared" si="57"/>
        <v>65</v>
      </c>
      <c r="P265" s="13"/>
      <c r="Q265" s="87">
        <f t="shared" si="53"/>
        <v>65</v>
      </c>
      <c r="R265" s="13"/>
      <c r="S265" s="87">
        <f t="shared" si="54"/>
        <v>65</v>
      </c>
    </row>
    <row r="266" spans="1:19" s="91" customFormat="1" ht="33">
      <c r="A266" s="62" t="str">
        <f ca="1">IF(ISERROR(MATCH(E266,Код_КЦСР,0)),"",INDIRECT(ADDRESS(MATCH(E266,Код_КЦСР,0)+1,2,,,"КЦСР")))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66" s="115">
        <v>801</v>
      </c>
      <c r="C266" s="8" t="s">
        <v>224</v>
      </c>
      <c r="D266" s="8" t="s">
        <v>196</v>
      </c>
      <c r="E266" s="115" t="s">
        <v>396</v>
      </c>
      <c r="F266" s="115"/>
      <c r="G266" s="70">
        <f aca="true" t="shared" si="65" ref="G266:R268">G267</f>
        <v>1235.2</v>
      </c>
      <c r="H266" s="70">
        <f t="shared" si="65"/>
        <v>0</v>
      </c>
      <c r="I266" s="70">
        <f t="shared" si="60"/>
        <v>1235.2</v>
      </c>
      <c r="J266" s="70">
        <f t="shared" si="65"/>
        <v>0</v>
      </c>
      <c r="K266" s="87">
        <f t="shared" si="61"/>
        <v>1235.2</v>
      </c>
      <c r="L266" s="13">
        <f t="shared" si="65"/>
        <v>0</v>
      </c>
      <c r="M266" s="87">
        <f t="shared" si="56"/>
        <v>1235.2</v>
      </c>
      <c r="N266" s="13">
        <f t="shared" si="65"/>
        <v>0</v>
      </c>
      <c r="O266" s="87">
        <f t="shared" si="57"/>
        <v>1235.2</v>
      </c>
      <c r="P266" s="13">
        <f t="shared" si="65"/>
        <v>0</v>
      </c>
      <c r="Q266" s="87">
        <f t="shared" si="53"/>
        <v>1235.2</v>
      </c>
      <c r="R266" s="13">
        <f t="shared" si="65"/>
        <v>0</v>
      </c>
      <c r="S266" s="87">
        <f t="shared" si="54"/>
        <v>1235.2</v>
      </c>
    </row>
    <row r="267" spans="1:19" s="91" customFormat="1" ht="33">
      <c r="A267" s="62" t="str">
        <f ca="1">IF(ISERROR(MATCH(F267,Код_КВР,0)),"",INDIRECT(ADDRESS(MATCH(F267,Код_КВР,0)+1,2,,,"КВР")))</f>
        <v>Предоставление субсидий бюджетным, автономным учреждениям и иным некоммерческим организациям</v>
      </c>
      <c r="B267" s="115">
        <v>801</v>
      </c>
      <c r="C267" s="8" t="s">
        <v>224</v>
      </c>
      <c r="D267" s="8" t="s">
        <v>196</v>
      </c>
      <c r="E267" s="115" t="s">
        <v>396</v>
      </c>
      <c r="F267" s="115">
        <v>600</v>
      </c>
      <c r="G267" s="70">
        <f t="shared" si="65"/>
        <v>1235.2</v>
      </c>
      <c r="H267" s="70">
        <f t="shared" si="65"/>
        <v>0</v>
      </c>
      <c r="I267" s="70">
        <f t="shared" si="60"/>
        <v>1235.2</v>
      </c>
      <c r="J267" s="70">
        <f t="shared" si="65"/>
        <v>0</v>
      </c>
      <c r="K267" s="87">
        <f t="shared" si="61"/>
        <v>1235.2</v>
      </c>
      <c r="L267" s="13">
        <f t="shared" si="65"/>
        <v>0</v>
      </c>
      <c r="M267" s="87">
        <f t="shared" si="56"/>
        <v>1235.2</v>
      </c>
      <c r="N267" s="13">
        <f t="shared" si="65"/>
        <v>0</v>
      </c>
      <c r="O267" s="87">
        <f t="shared" si="57"/>
        <v>1235.2</v>
      </c>
      <c r="P267" s="13">
        <f t="shared" si="65"/>
        <v>0</v>
      </c>
      <c r="Q267" s="87">
        <f t="shared" si="53"/>
        <v>1235.2</v>
      </c>
      <c r="R267" s="13">
        <f t="shared" si="65"/>
        <v>0</v>
      </c>
      <c r="S267" s="87">
        <f t="shared" si="54"/>
        <v>1235.2</v>
      </c>
    </row>
    <row r="268" spans="1:19" s="91" customFormat="1" ht="12.75">
      <c r="A268" s="62" t="str">
        <f ca="1">IF(ISERROR(MATCH(F268,Код_КВР,0)),"",INDIRECT(ADDRESS(MATCH(F268,Код_КВР,0)+1,2,,,"КВР")))</f>
        <v>Субсидии бюджетным учреждениям</v>
      </c>
      <c r="B268" s="115">
        <v>801</v>
      </c>
      <c r="C268" s="8" t="s">
        <v>224</v>
      </c>
      <c r="D268" s="8" t="s">
        <v>196</v>
      </c>
      <c r="E268" s="115" t="s">
        <v>396</v>
      </c>
      <c r="F268" s="115">
        <v>610</v>
      </c>
      <c r="G268" s="70">
        <f t="shared" si="65"/>
        <v>1235.2</v>
      </c>
      <c r="H268" s="70">
        <f t="shared" si="65"/>
        <v>0</v>
      </c>
      <c r="I268" s="70">
        <f t="shared" si="60"/>
        <v>1235.2</v>
      </c>
      <c r="J268" s="70">
        <f t="shared" si="65"/>
        <v>0</v>
      </c>
      <c r="K268" s="87">
        <f t="shared" si="61"/>
        <v>1235.2</v>
      </c>
      <c r="L268" s="13">
        <f t="shared" si="65"/>
        <v>0</v>
      </c>
      <c r="M268" s="87">
        <f t="shared" si="56"/>
        <v>1235.2</v>
      </c>
      <c r="N268" s="13">
        <f t="shared" si="65"/>
        <v>0</v>
      </c>
      <c r="O268" s="87">
        <f t="shared" si="57"/>
        <v>1235.2</v>
      </c>
      <c r="P268" s="13">
        <f t="shared" si="65"/>
        <v>0</v>
      </c>
      <c r="Q268" s="87">
        <f t="shared" si="53"/>
        <v>1235.2</v>
      </c>
      <c r="R268" s="13">
        <f t="shared" si="65"/>
        <v>0</v>
      </c>
      <c r="S268" s="87">
        <f t="shared" si="54"/>
        <v>1235.2</v>
      </c>
    </row>
    <row r="269" spans="1:19" s="91" customFormat="1" ht="12.75">
      <c r="A269" s="62" t="str">
        <f ca="1">IF(ISERROR(MATCH(F269,Код_КВР,0)),"",INDIRECT(ADDRESS(MATCH(F269,Код_КВР,0)+1,2,,,"КВР")))</f>
        <v>Субсидии бюджетным учреждениям на иные цели</v>
      </c>
      <c r="B269" s="115">
        <v>801</v>
      </c>
      <c r="C269" s="8" t="s">
        <v>224</v>
      </c>
      <c r="D269" s="8" t="s">
        <v>196</v>
      </c>
      <c r="E269" s="115" t="s">
        <v>396</v>
      </c>
      <c r="F269" s="115">
        <v>612</v>
      </c>
      <c r="G269" s="70">
        <v>1235.2</v>
      </c>
      <c r="H269" s="70"/>
      <c r="I269" s="70">
        <f t="shared" si="60"/>
        <v>1235.2</v>
      </c>
      <c r="J269" s="70"/>
      <c r="K269" s="87">
        <f t="shared" si="61"/>
        <v>1235.2</v>
      </c>
      <c r="L269" s="13"/>
      <c r="M269" s="87">
        <f t="shared" si="56"/>
        <v>1235.2</v>
      </c>
      <c r="N269" s="13"/>
      <c r="O269" s="87">
        <f t="shared" si="57"/>
        <v>1235.2</v>
      </c>
      <c r="P269" s="13"/>
      <c r="Q269" s="87">
        <f t="shared" si="53"/>
        <v>1235.2</v>
      </c>
      <c r="R269" s="13"/>
      <c r="S269" s="87">
        <f t="shared" si="54"/>
        <v>1235.2</v>
      </c>
    </row>
    <row r="270" spans="1:19" s="91" customFormat="1" ht="12.75">
      <c r="A270" s="12" t="s">
        <v>231</v>
      </c>
      <c r="B270" s="115">
        <v>801</v>
      </c>
      <c r="C270" s="8" t="s">
        <v>224</v>
      </c>
      <c r="D270" s="8" t="s">
        <v>204</v>
      </c>
      <c r="E270" s="115"/>
      <c r="F270" s="115"/>
      <c r="G270" s="70">
        <f>G271+G281+G291</f>
        <v>14908.7</v>
      </c>
      <c r="H270" s="70">
        <f>H271+H281+H291</f>
        <v>0</v>
      </c>
      <c r="I270" s="70">
        <f t="shared" si="60"/>
        <v>14908.7</v>
      </c>
      <c r="J270" s="70">
        <f>J271+J281+J291</f>
        <v>0</v>
      </c>
      <c r="K270" s="87">
        <f t="shared" si="61"/>
        <v>14908.7</v>
      </c>
      <c r="L270" s="13">
        <f>L271+L281+L291</f>
        <v>0</v>
      </c>
      <c r="M270" s="87">
        <f t="shared" si="56"/>
        <v>14908.7</v>
      </c>
      <c r="N270" s="13">
        <f>N271+N281+N291</f>
        <v>278</v>
      </c>
      <c r="O270" s="87">
        <f t="shared" si="57"/>
        <v>15186.7</v>
      </c>
      <c r="P270" s="13">
        <f>P271+P281+P291</f>
        <v>0</v>
      </c>
      <c r="Q270" s="87">
        <f t="shared" si="53"/>
        <v>15186.7</v>
      </c>
      <c r="R270" s="13">
        <f>R271+R281+R291</f>
        <v>312.6</v>
      </c>
      <c r="S270" s="87">
        <f t="shared" si="54"/>
        <v>15499.300000000001</v>
      </c>
    </row>
    <row r="271" spans="1:19" s="91" customFormat="1" ht="33">
      <c r="A271" s="62" t="str">
        <f ca="1">IF(ISERROR(MATCH(E271,Код_КЦСР,0)),"",INDIRECT(ADDRESS(MATCH(E271,Код_КЦСР,0)+1,2,,,"КЦСР")))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71" s="115">
        <v>801</v>
      </c>
      <c r="C271" s="8" t="s">
        <v>224</v>
      </c>
      <c r="D271" s="8" t="s">
        <v>204</v>
      </c>
      <c r="E271" s="115" t="s">
        <v>559</v>
      </c>
      <c r="F271" s="115"/>
      <c r="G271" s="70">
        <f>G272+G275</f>
        <v>3117.5</v>
      </c>
      <c r="H271" s="70">
        <f>H272+H275</f>
        <v>0</v>
      </c>
      <c r="I271" s="70">
        <f t="shared" si="60"/>
        <v>3117.5</v>
      </c>
      <c r="J271" s="70">
        <f>J272+J275</f>
        <v>0</v>
      </c>
      <c r="K271" s="87">
        <f t="shared" si="61"/>
        <v>3117.5</v>
      </c>
      <c r="L271" s="13">
        <f>L272+L275</f>
        <v>0</v>
      </c>
      <c r="M271" s="87">
        <f t="shared" si="56"/>
        <v>3117.5</v>
      </c>
      <c r="N271" s="13">
        <f>N272+N275</f>
        <v>278</v>
      </c>
      <c r="O271" s="87">
        <f t="shared" si="57"/>
        <v>3395.5</v>
      </c>
      <c r="P271" s="13">
        <f>P272+P275</f>
        <v>0</v>
      </c>
      <c r="Q271" s="87">
        <f t="shared" si="53"/>
        <v>3395.5</v>
      </c>
      <c r="R271" s="13">
        <f>R272+R275+R278</f>
        <v>312.6</v>
      </c>
      <c r="S271" s="87">
        <f t="shared" si="54"/>
        <v>3708.1</v>
      </c>
    </row>
    <row r="272" spans="1:19" s="91" customFormat="1" ht="33">
      <c r="A272" s="62" t="str">
        <f ca="1">IF(ISERROR(MATCH(E272,Код_КЦСР,0)),"",INDIRECT(ADDRESS(MATCH(E272,Код_КЦСР,0)+1,2,,,"КЦСР")))</f>
        <v>Субсидии организациям, образующим инфраструктуру поддержки МСП: НП «Агентство Городского Развития»</v>
      </c>
      <c r="B272" s="115">
        <v>801</v>
      </c>
      <c r="C272" s="8" t="s">
        <v>224</v>
      </c>
      <c r="D272" s="8" t="s">
        <v>204</v>
      </c>
      <c r="E272" s="115" t="s">
        <v>561</v>
      </c>
      <c r="F272" s="115"/>
      <c r="G272" s="70">
        <f>G273</f>
        <v>3115</v>
      </c>
      <c r="H272" s="70">
        <f>H273</f>
        <v>0</v>
      </c>
      <c r="I272" s="70">
        <f t="shared" si="60"/>
        <v>3115</v>
      </c>
      <c r="J272" s="70">
        <f>J273</f>
        <v>0</v>
      </c>
      <c r="K272" s="87">
        <f t="shared" si="61"/>
        <v>3115</v>
      </c>
      <c r="L272" s="13">
        <f>L273</f>
        <v>0</v>
      </c>
      <c r="M272" s="87">
        <f t="shared" si="56"/>
        <v>3115</v>
      </c>
      <c r="N272" s="13">
        <f>N273</f>
        <v>278</v>
      </c>
      <c r="O272" s="87">
        <f t="shared" si="57"/>
        <v>3393</v>
      </c>
      <c r="P272" s="13">
        <f>P273</f>
        <v>0</v>
      </c>
      <c r="Q272" s="87">
        <f t="shared" si="53"/>
        <v>3393</v>
      </c>
      <c r="R272" s="13">
        <f>R273</f>
        <v>0</v>
      </c>
      <c r="S272" s="87">
        <f t="shared" si="54"/>
        <v>3393</v>
      </c>
    </row>
    <row r="273" spans="1:19" s="91" customFormat="1" ht="33">
      <c r="A273" s="62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115">
        <v>801</v>
      </c>
      <c r="C273" s="8" t="s">
        <v>224</v>
      </c>
      <c r="D273" s="8" t="s">
        <v>204</v>
      </c>
      <c r="E273" s="115" t="s">
        <v>561</v>
      </c>
      <c r="F273" s="115">
        <v>600</v>
      </c>
      <c r="G273" s="70">
        <f>G274</f>
        <v>3115</v>
      </c>
      <c r="H273" s="70">
        <f>H274</f>
        <v>0</v>
      </c>
      <c r="I273" s="70">
        <f t="shared" si="60"/>
        <v>3115</v>
      </c>
      <c r="J273" s="70">
        <f>J274</f>
        <v>0</v>
      </c>
      <c r="K273" s="87">
        <f t="shared" si="61"/>
        <v>3115</v>
      </c>
      <c r="L273" s="13">
        <f>L274</f>
        <v>0</v>
      </c>
      <c r="M273" s="87">
        <f t="shared" si="56"/>
        <v>3115</v>
      </c>
      <c r="N273" s="13">
        <f>N274</f>
        <v>278</v>
      </c>
      <c r="O273" s="87">
        <f t="shared" si="57"/>
        <v>3393</v>
      </c>
      <c r="P273" s="13">
        <f>P274</f>
        <v>0</v>
      </c>
      <c r="Q273" s="87">
        <f t="shared" si="53"/>
        <v>3393</v>
      </c>
      <c r="R273" s="13">
        <f>R274</f>
        <v>0</v>
      </c>
      <c r="S273" s="87">
        <f t="shared" si="54"/>
        <v>3393</v>
      </c>
    </row>
    <row r="274" spans="1:19" s="91" customFormat="1" ht="33">
      <c r="A274" s="62" t="str">
        <f ca="1">IF(ISERROR(MATCH(F274,Код_КВР,0)),"",INDIRECT(ADDRESS(MATCH(F274,Код_КВР,0)+1,2,,,"КВР")))</f>
        <v>Субсидии некоммерческим организациям (за исключением государственных (муниципальных) учреждений)</v>
      </c>
      <c r="B274" s="115">
        <v>801</v>
      </c>
      <c r="C274" s="8" t="s">
        <v>224</v>
      </c>
      <c r="D274" s="8" t="s">
        <v>204</v>
      </c>
      <c r="E274" s="115" t="s">
        <v>561</v>
      </c>
      <c r="F274" s="115">
        <v>630</v>
      </c>
      <c r="G274" s="70">
        <v>3115</v>
      </c>
      <c r="H274" s="70"/>
      <c r="I274" s="70">
        <f t="shared" si="60"/>
        <v>3115</v>
      </c>
      <c r="J274" s="70"/>
      <c r="K274" s="87">
        <f t="shared" si="61"/>
        <v>3115</v>
      </c>
      <c r="L274" s="13"/>
      <c r="M274" s="87">
        <f t="shared" si="56"/>
        <v>3115</v>
      </c>
      <c r="N274" s="13">
        <v>278</v>
      </c>
      <c r="O274" s="87">
        <f t="shared" si="57"/>
        <v>3393</v>
      </c>
      <c r="P274" s="13"/>
      <c r="Q274" s="87">
        <f t="shared" si="53"/>
        <v>3393</v>
      </c>
      <c r="R274" s="13"/>
      <c r="S274" s="87">
        <f t="shared" si="54"/>
        <v>3393</v>
      </c>
    </row>
    <row r="275" spans="1:19" s="91" customFormat="1" ht="33">
      <c r="A275" s="62" t="str">
        <f ca="1">IF(ISERROR(MATCH(E275,Код_КЦСР,0)),"",INDIRECT(ADDRESS(MATCH(E275,Код_КЦСР,0)+1,2,,,"КЦСР")))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75" s="115">
        <v>801</v>
      </c>
      <c r="C275" s="8" t="s">
        <v>224</v>
      </c>
      <c r="D275" s="8" t="s">
        <v>204</v>
      </c>
      <c r="E275" s="115" t="s">
        <v>563</v>
      </c>
      <c r="F275" s="115"/>
      <c r="G275" s="70">
        <f>G276</f>
        <v>2.5</v>
      </c>
      <c r="H275" s="70">
        <f>H276</f>
        <v>0</v>
      </c>
      <c r="I275" s="70">
        <f t="shared" si="60"/>
        <v>2.5</v>
      </c>
      <c r="J275" s="70">
        <f>J276</f>
        <v>0</v>
      </c>
      <c r="K275" s="87">
        <f t="shared" si="61"/>
        <v>2.5</v>
      </c>
      <c r="L275" s="13">
        <f>L276</f>
        <v>0</v>
      </c>
      <c r="M275" s="87">
        <f t="shared" si="56"/>
        <v>2.5</v>
      </c>
      <c r="N275" s="13">
        <f>N276</f>
        <v>0</v>
      </c>
      <c r="O275" s="87">
        <f t="shared" si="57"/>
        <v>2.5</v>
      </c>
      <c r="P275" s="13">
        <f>P276</f>
        <v>0</v>
      </c>
      <c r="Q275" s="87">
        <f t="shared" si="53"/>
        <v>2.5</v>
      </c>
      <c r="R275" s="13">
        <f>R276</f>
        <v>0</v>
      </c>
      <c r="S275" s="87">
        <f t="shared" si="54"/>
        <v>2.5</v>
      </c>
    </row>
    <row r="276" spans="1:19" s="91" customFormat="1" ht="33">
      <c r="A276" s="62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115">
        <v>801</v>
      </c>
      <c r="C276" s="8" t="s">
        <v>224</v>
      </c>
      <c r="D276" s="8" t="s">
        <v>204</v>
      </c>
      <c r="E276" s="115" t="s">
        <v>563</v>
      </c>
      <c r="F276" s="115">
        <v>600</v>
      </c>
      <c r="G276" s="70">
        <f>G277</f>
        <v>2.5</v>
      </c>
      <c r="H276" s="70">
        <f>H277</f>
        <v>0</v>
      </c>
      <c r="I276" s="70">
        <f t="shared" si="60"/>
        <v>2.5</v>
      </c>
      <c r="J276" s="70">
        <f>J277</f>
        <v>0</v>
      </c>
      <c r="K276" s="87">
        <f t="shared" si="61"/>
        <v>2.5</v>
      </c>
      <c r="L276" s="13">
        <f>L277</f>
        <v>0</v>
      </c>
      <c r="M276" s="87">
        <f t="shared" si="56"/>
        <v>2.5</v>
      </c>
      <c r="N276" s="13">
        <f>N277</f>
        <v>0</v>
      </c>
      <c r="O276" s="87">
        <f t="shared" si="57"/>
        <v>2.5</v>
      </c>
      <c r="P276" s="13">
        <f>P277</f>
        <v>0</v>
      </c>
      <c r="Q276" s="87">
        <f t="shared" si="53"/>
        <v>2.5</v>
      </c>
      <c r="R276" s="13">
        <f>R277</f>
        <v>0</v>
      </c>
      <c r="S276" s="87">
        <f t="shared" si="54"/>
        <v>2.5</v>
      </c>
    </row>
    <row r="277" spans="1:19" s="91" customFormat="1" ht="41.25" customHeight="1">
      <c r="A277" s="62" t="str">
        <f ca="1">IF(ISERROR(MATCH(F277,Код_КВР,0)),"",INDIRECT(ADDRESS(MATCH(F277,Код_КВР,0)+1,2,,,"КВР")))</f>
        <v>Субсидии некоммерческим организациям (за исключением государственных (муниципальных) учреждений)</v>
      </c>
      <c r="B277" s="115">
        <v>801</v>
      </c>
      <c r="C277" s="8" t="s">
        <v>224</v>
      </c>
      <c r="D277" s="8" t="s">
        <v>204</v>
      </c>
      <c r="E277" s="115" t="s">
        <v>563</v>
      </c>
      <c r="F277" s="115">
        <v>630</v>
      </c>
      <c r="G277" s="70">
        <v>2.5</v>
      </c>
      <c r="H277" s="70"/>
      <c r="I277" s="70">
        <f t="shared" si="60"/>
        <v>2.5</v>
      </c>
      <c r="J277" s="70"/>
      <c r="K277" s="87">
        <f t="shared" si="61"/>
        <v>2.5</v>
      </c>
      <c r="L277" s="13"/>
      <c r="M277" s="87">
        <f t="shared" si="56"/>
        <v>2.5</v>
      </c>
      <c r="N277" s="13"/>
      <c r="O277" s="87">
        <f t="shared" si="57"/>
        <v>2.5</v>
      </c>
      <c r="P277" s="13"/>
      <c r="Q277" s="87">
        <f t="shared" si="53"/>
        <v>2.5</v>
      </c>
      <c r="R277" s="13"/>
      <c r="S277" s="87">
        <f t="shared" si="54"/>
        <v>2.5</v>
      </c>
    </row>
    <row r="278" spans="1:19" s="123" customFormat="1" ht="60.75" customHeight="1">
      <c r="A278" s="62" t="str">
        <f ca="1">IF(ISERROR(MATCH(E278,Код_КЦСР,0)),"",INDIRECT(ADDRESS(MATCH(E278,Код_КЦСР,0)+1,2,,,"КЦСР")))</f>
        <v>Государственная поддержка малого и среднего предпринимательства, включая крестьянские (фермерские) хозяйства, за счет субсидий из федерального бюджета</v>
      </c>
      <c r="B278" s="122">
        <v>801</v>
      </c>
      <c r="C278" s="8" t="s">
        <v>224</v>
      </c>
      <c r="D278" s="8" t="s">
        <v>204</v>
      </c>
      <c r="E278" s="122" t="s">
        <v>657</v>
      </c>
      <c r="F278" s="122"/>
      <c r="G278" s="70"/>
      <c r="H278" s="70"/>
      <c r="I278" s="70"/>
      <c r="J278" s="70"/>
      <c r="K278" s="87"/>
      <c r="L278" s="13"/>
      <c r="M278" s="87"/>
      <c r="N278" s="13"/>
      <c r="O278" s="87"/>
      <c r="P278" s="13"/>
      <c r="Q278" s="87"/>
      <c r="R278" s="13">
        <f>R279</f>
        <v>312.6</v>
      </c>
      <c r="S278" s="87">
        <f t="shared" si="54"/>
        <v>312.6</v>
      </c>
    </row>
    <row r="279" spans="1:19" s="123" customFormat="1" ht="21.95" customHeight="1">
      <c r="A279" s="62" t="str">
        <f ca="1">IF(ISERROR(MATCH(F279,Код_КВР,0)),"",INDIRECT(ADDRESS(MATCH(F279,Код_КВР,0)+1,2,,,"КВР")))</f>
        <v>Иные бюджетные ассигнования</v>
      </c>
      <c r="B279" s="122">
        <v>801</v>
      </c>
      <c r="C279" s="8" t="s">
        <v>224</v>
      </c>
      <c r="D279" s="8" t="s">
        <v>204</v>
      </c>
      <c r="E279" s="122" t="s">
        <v>657</v>
      </c>
      <c r="F279" s="122">
        <v>800</v>
      </c>
      <c r="G279" s="70"/>
      <c r="H279" s="70"/>
      <c r="I279" s="70"/>
      <c r="J279" s="70"/>
      <c r="K279" s="87"/>
      <c r="L279" s="13"/>
      <c r="M279" s="87"/>
      <c r="N279" s="13"/>
      <c r="O279" s="87"/>
      <c r="P279" s="13"/>
      <c r="Q279" s="87"/>
      <c r="R279" s="13">
        <f>R280</f>
        <v>312.6</v>
      </c>
      <c r="S279" s="87">
        <f t="shared" si="54"/>
        <v>312.6</v>
      </c>
    </row>
    <row r="280" spans="1:19" s="123" customFormat="1" ht="33">
      <c r="A280" s="62" t="str">
        <f ca="1">IF(ISERROR(MATCH(F280,Код_КВР,0)),"",INDIRECT(ADDRESS(MATCH(F280,Код_КВР,0)+1,2,,,"КВР")))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80" s="122">
        <v>801</v>
      </c>
      <c r="C280" s="8" t="s">
        <v>224</v>
      </c>
      <c r="D280" s="8" t="s">
        <v>204</v>
      </c>
      <c r="E280" s="122" t="s">
        <v>657</v>
      </c>
      <c r="F280" s="122">
        <v>810</v>
      </c>
      <c r="G280" s="70"/>
      <c r="H280" s="70"/>
      <c r="I280" s="70"/>
      <c r="J280" s="70"/>
      <c r="K280" s="87"/>
      <c r="L280" s="13"/>
      <c r="M280" s="87"/>
      <c r="N280" s="13"/>
      <c r="O280" s="87"/>
      <c r="P280" s="13"/>
      <c r="Q280" s="87"/>
      <c r="R280" s="13">
        <f>312.6</f>
        <v>312.6</v>
      </c>
      <c r="S280" s="87">
        <f t="shared" si="54"/>
        <v>312.6</v>
      </c>
    </row>
    <row r="281" spans="1:19" s="91" customFormat="1" ht="33">
      <c r="A281" s="62" t="str">
        <f ca="1">IF(ISERROR(MATCH(E281,Код_КЦСР,0)),"",INDIRECT(ADDRESS(MATCH(E281,Код_КЦСР,0)+1,2,,,"КЦСР")))</f>
        <v>Муниципальная программа «Повышение инвестиционной привлекательности города Череповца» на 2014-2018 годы</v>
      </c>
      <c r="B281" s="115">
        <v>801</v>
      </c>
      <c r="C281" s="8" t="s">
        <v>224</v>
      </c>
      <c r="D281" s="8" t="s">
        <v>204</v>
      </c>
      <c r="E281" s="115" t="s">
        <v>565</v>
      </c>
      <c r="F281" s="115"/>
      <c r="G281" s="70">
        <f>G282+G285+G288</f>
        <v>11791.2</v>
      </c>
      <c r="H281" s="70">
        <f>H282+H285+H288</f>
        <v>0</v>
      </c>
      <c r="I281" s="70">
        <f t="shared" si="60"/>
        <v>11791.2</v>
      </c>
      <c r="J281" s="70">
        <f>J282+J285+J288</f>
        <v>0</v>
      </c>
      <c r="K281" s="87">
        <f t="shared" si="61"/>
        <v>11791.2</v>
      </c>
      <c r="L281" s="13">
        <f>L282+L285+L288</f>
        <v>0</v>
      </c>
      <c r="M281" s="87">
        <f t="shared" si="56"/>
        <v>11791.2</v>
      </c>
      <c r="N281" s="13">
        <f>N282+N285+N288</f>
        <v>0</v>
      </c>
      <c r="O281" s="87">
        <f t="shared" si="57"/>
        <v>11791.2</v>
      </c>
      <c r="P281" s="13">
        <f>P282+P285+P288</f>
        <v>0</v>
      </c>
      <c r="Q281" s="87">
        <f t="shared" si="53"/>
        <v>11791.2</v>
      </c>
      <c r="R281" s="13">
        <f>R282+R285+R288</f>
        <v>0</v>
      </c>
      <c r="S281" s="87">
        <f t="shared" si="54"/>
        <v>11791.2</v>
      </c>
    </row>
    <row r="282" spans="1:19" s="91" customFormat="1" ht="21.95" customHeight="1">
      <c r="A282" s="62" t="str">
        <f ca="1">IF(ISERROR(MATCH(E282,Код_КЦСР,0)),"",INDIRECT(ADDRESS(MATCH(E282,Код_КЦСР,0)+1,2,,,"КЦСР")))</f>
        <v>Стимулирование экономического роста путем привлечения инвесторов</v>
      </c>
      <c r="B282" s="115">
        <v>801</v>
      </c>
      <c r="C282" s="8" t="s">
        <v>224</v>
      </c>
      <c r="D282" s="8" t="s">
        <v>204</v>
      </c>
      <c r="E282" s="115" t="s">
        <v>567</v>
      </c>
      <c r="F282" s="115"/>
      <c r="G282" s="70">
        <f>G283</f>
        <v>5549.9</v>
      </c>
      <c r="H282" s="70">
        <f>H283</f>
        <v>0</v>
      </c>
      <c r="I282" s="70">
        <f t="shared" si="60"/>
        <v>5549.9</v>
      </c>
      <c r="J282" s="70">
        <f>J283</f>
        <v>0</v>
      </c>
      <c r="K282" s="87">
        <f t="shared" si="61"/>
        <v>5549.9</v>
      </c>
      <c r="L282" s="13">
        <f>L283</f>
        <v>0</v>
      </c>
      <c r="M282" s="87">
        <f t="shared" si="56"/>
        <v>5549.9</v>
      </c>
      <c r="N282" s="13">
        <f>N283</f>
        <v>0</v>
      </c>
      <c r="O282" s="87">
        <f t="shared" si="57"/>
        <v>5549.9</v>
      </c>
      <c r="P282" s="13">
        <f>P283</f>
        <v>0</v>
      </c>
      <c r="Q282" s="87">
        <f t="shared" si="53"/>
        <v>5549.9</v>
      </c>
      <c r="R282" s="13">
        <f>R283</f>
        <v>0</v>
      </c>
      <c r="S282" s="87">
        <f t="shared" si="54"/>
        <v>5549.9</v>
      </c>
    </row>
    <row r="283" spans="1:19" s="91" customFormat="1" ht="33">
      <c r="A283" s="62" t="str">
        <f ca="1">IF(ISERROR(MATCH(F283,Код_КВР,0)),"",INDIRECT(ADDRESS(MATCH(F283,Код_КВР,0)+1,2,,,"КВР")))</f>
        <v>Предоставление субсидий бюджетным, автономным учреждениям и иным некоммерческим организациям</v>
      </c>
      <c r="B283" s="115">
        <v>801</v>
      </c>
      <c r="C283" s="8" t="s">
        <v>224</v>
      </c>
      <c r="D283" s="8" t="s">
        <v>204</v>
      </c>
      <c r="E283" s="115" t="s">
        <v>567</v>
      </c>
      <c r="F283" s="115">
        <v>600</v>
      </c>
      <c r="G283" s="70">
        <f>G284</f>
        <v>5549.9</v>
      </c>
      <c r="H283" s="70">
        <f>H284</f>
        <v>0</v>
      </c>
      <c r="I283" s="70">
        <f t="shared" si="60"/>
        <v>5549.9</v>
      </c>
      <c r="J283" s="70">
        <f>J284</f>
        <v>0</v>
      </c>
      <c r="K283" s="87">
        <f t="shared" si="61"/>
        <v>5549.9</v>
      </c>
      <c r="L283" s="13">
        <f>L284</f>
        <v>0</v>
      </c>
      <c r="M283" s="87">
        <f t="shared" si="56"/>
        <v>5549.9</v>
      </c>
      <c r="N283" s="13">
        <f>N284</f>
        <v>0</v>
      </c>
      <c r="O283" s="87">
        <f t="shared" si="57"/>
        <v>5549.9</v>
      </c>
      <c r="P283" s="13">
        <f>P284</f>
        <v>0</v>
      </c>
      <c r="Q283" s="87">
        <f t="shared" si="53"/>
        <v>5549.9</v>
      </c>
      <c r="R283" s="13">
        <f>R284</f>
        <v>0</v>
      </c>
      <c r="S283" s="87">
        <f t="shared" si="54"/>
        <v>5549.9</v>
      </c>
    </row>
    <row r="284" spans="1:19" s="91" customFormat="1" ht="33">
      <c r="A284" s="62" t="str">
        <f ca="1">IF(ISERROR(MATCH(F284,Код_КВР,0)),"",INDIRECT(ADDRESS(MATCH(F284,Код_КВР,0)+1,2,,,"КВР")))</f>
        <v>Субсидии некоммерческим организациям (за исключением государственных (муниципальных) учреждений)</v>
      </c>
      <c r="B284" s="115">
        <v>801</v>
      </c>
      <c r="C284" s="8" t="s">
        <v>224</v>
      </c>
      <c r="D284" s="8" t="s">
        <v>204</v>
      </c>
      <c r="E284" s="115" t="s">
        <v>567</v>
      </c>
      <c r="F284" s="115">
        <v>630</v>
      </c>
      <c r="G284" s="70">
        <v>5549.9</v>
      </c>
      <c r="H284" s="70"/>
      <c r="I284" s="70">
        <f t="shared" si="60"/>
        <v>5549.9</v>
      </c>
      <c r="J284" s="70"/>
      <c r="K284" s="87">
        <f t="shared" si="61"/>
        <v>5549.9</v>
      </c>
      <c r="L284" s="13"/>
      <c r="M284" s="87">
        <f t="shared" si="56"/>
        <v>5549.9</v>
      </c>
      <c r="N284" s="13"/>
      <c r="O284" s="87">
        <f t="shared" si="57"/>
        <v>5549.9</v>
      </c>
      <c r="P284" s="13"/>
      <c r="Q284" s="87">
        <f t="shared" si="53"/>
        <v>5549.9</v>
      </c>
      <c r="R284" s="13"/>
      <c r="S284" s="87">
        <f aca="true" t="shared" si="66" ref="S284:S351">Q284+R284</f>
        <v>5549.9</v>
      </c>
    </row>
    <row r="285" spans="1:19" s="91" customFormat="1" ht="33">
      <c r="A285" s="62" t="str">
        <f ca="1">IF(ISERROR(MATCH(E285,Код_КЦСР,0)),"",INDIRECT(ADDRESS(MATCH(E285,Код_КЦСР,0)+1,2,,,"КЦСР")))</f>
        <v>Информационное и нормативно-правовое сопровождение инвестиционной деятельности</v>
      </c>
      <c r="B285" s="115">
        <v>801</v>
      </c>
      <c r="C285" s="8" t="s">
        <v>224</v>
      </c>
      <c r="D285" s="8" t="s">
        <v>204</v>
      </c>
      <c r="E285" s="115" t="s">
        <v>569</v>
      </c>
      <c r="F285" s="115"/>
      <c r="G285" s="70">
        <f>G286</f>
        <v>2874.8</v>
      </c>
      <c r="H285" s="70">
        <f>H286</f>
        <v>0</v>
      </c>
      <c r="I285" s="70">
        <f t="shared" si="60"/>
        <v>2874.8</v>
      </c>
      <c r="J285" s="70">
        <f>J286</f>
        <v>0</v>
      </c>
      <c r="K285" s="87">
        <f t="shared" si="61"/>
        <v>2874.8</v>
      </c>
      <c r="L285" s="13">
        <f>L286</f>
        <v>0</v>
      </c>
      <c r="M285" s="87">
        <f t="shared" si="56"/>
        <v>2874.8</v>
      </c>
      <c r="N285" s="13">
        <f>N286</f>
        <v>0</v>
      </c>
      <c r="O285" s="87">
        <f t="shared" si="57"/>
        <v>2874.8</v>
      </c>
      <c r="P285" s="13">
        <f>P286</f>
        <v>0</v>
      </c>
      <c r="Q285" s="87">
        <f t="shared" si="53"/>
        <v>2874.8</v>
      </c>
      <c r="R285" s="13">
        <f>R286</f>
        <v>0</v>
      </c>
      <c r="S285" s="87">
        <f t="shared" si="66"/>
        <v>2874.8</v>
      </c>
    </row>
    <row r="286" spans="1:19" s="91" customFormat="1" ht="33">
      <c r="A286" s="62" t="str">
        <f ca="1">IF(ISERROR(MATCH(F286,Код_КВР,0)),"",INDIRECT(ADDRESS(MATCH(F286,Код_КВР,0)+1,2,,,"КВР")))</f>
        <v>Предоставление субсидий бюджетным, автономным учреждениям и иным некоммерческим организациям</v>
      </c>
      <c r="B286" s="115">
        <v>801</v>
      </c>
      <c r="C286" s="8" t="s">
        <v>224</v>
      </c>
      <c r="D286" s="8" t="s">
        <v>204</v>
      </c>
      <c r="E286" s="115" t="s">
        <v>569</v>
      </c>
      <c r="F286" s="115">
        <v>600</v>
      </c>
      <c r="G286" s="70">
        <f>G287</f>
        <v>2874.8</v>
      </c>
      <c r="H286" s="70">
        <f>H287</f>
        <v>0</v>
      </c>
      <c r="I286" s="70">
        <f t="shared" si="60"/>
        <v>2874.8</v>
      </c>
      <c r="J286" s="70">
        <f>J287</f>
        <v>0</v>
      </c>
      <c r="K286" s="87">
        <f t="shared" si="61"/>
        <v>2874.8</v>
      </c>
      <c r="L286" s="13">
        <f>L287</f>
        <v>0</v>
      </c>
      <c r="M286" s="87">
        <f t="shared" si="56"/>
        <v>2874.8</v>
      </c>
      <c r="N286" s="13">
        <f>N287</f>
        <v>0</v>
      </c>
      <c r="O286" s="87">
        <f t="shared" si="57"/>
        <v>2874.8</v>
      </c>
      <c r="P286" s="13">
        <f>P287</f>
        <v>0</v>
      </c>
      <c r="Q286" s="87">
        <f t="shared" si="53"/>
        <v>2874.8</v>
      </c>
      <c r="R286" s="13">
        <f>R287</f>
        <v>0</v>
      </c>
      <c r="S286" s="87">
        <f t="shared" si="66"/>
        <v>2874.8</v>
      </c>
    </row>
    <row r="287" spans="1:19" s="91" customFormat="1" ht="33">
      <c r="A287" s="62" t="str">
        <f ca="1">IF(ISERROR(MATCH(F287,Код_КВР,0)),"",INDIRECT(ADDRESS(MATCH(F287,Код_КВР,0)+1,2,,,"КВР")))</f>
        <v>Субсидии некоммерческим организациям (за исключением государственных (муниципальных) учреждений)</v>
      </c>
      <c r="B287" s="115">
        <v>801</v>
      </c>
      <c r="C287" s="8" t="s">
        <v>224</v>
      </c>
      <c r="D287" s="8" t="s">
        <v>204</v>
      </c>
      <c r="E287" s="115" t="s">
        <v>569</v>
      </c>
      <c r="F287" s="115">
        <v>630</v>
      </c>
      <c r="G287" s="70">
        <v>2874.8</v>
      </c>
      <c r="H287" s="70"/>
      <c r="I287" s="70">
        <f t="shared" si="60"/>
        <v>2874.8</v>
      </c>
      <c r="J287" s="70"/>
      <c r="K287" s="87">
        <f t="shared" si="61"/>
        <v>2874.8</v>
      </c>
      <c r="L287" s="13"/>
      <c r="M287" s="87">
        <f t="shared" si="56"/>
        <v>2874.8</v>
      </c>
      <c r="N287" s="13"/>
      <c r="O287" s="87">
        <f t="shared" si="57"/>
        <v>2874.8</v>
      </c>
      <c r="P287" s="13"/>
      <c r="Q287" s="87">
        <f t="shared" si="53"/>
        <v>2874.8</v>
      </c>
      <c r="R287" s="13"/>
      <c r="S287" s="87">
        <f t="shared" si="66"/>
        <v>2874.8</v>
      </c>
    </row>
    <row r="288" spans="1:19" s="91" customFormat="1" ht="12.75">
      <c r="A288" s="62" t="str">
        <f ca="1">IF(ISERROR(MATCH(E288,Код_КЦСР,0)),"",INDIRECT(ADDRESS(MATCH(E288,Код_КЦСР,0)+1,2,,,"КЦСР")))</f>
        <v>Комплексное сопровождение инвестиционных проектов</v>
      </c>
      <c r="B288" s="115">
        <v>801</v>
      </c>
      <c r="C288" s="8" t="s">
        <v>224</v>
      </c>
      <c r="D288" s="8" t="s">
        <v>204</v>
      </c>
      <c r="E288" s="115" t="s">
        <v>571</v>
      </c>
      <c r="F288" s="115"/>
      <c r="G288" s="70">
        <f>G289</f>
        <v>3366.5</v>
      </c>
      <c r="H288" s="70">
        <f>H289</f>
        <v>0</v>
      </c>
      <c r="I288" s="70">
        <f t="shared" si="60"/>
        <v>3366.5</v>
      </c>
      <c r="J288" s="70">
        <f>J289</f>
        <v>0</v>
      </c>
      <c r="K288" s="87">
        <f t="shared" si="61"/>
        <v>3366.5</v>
      </c>
      <c r="L288" s="13">
        <f>L289</f>
        <v>0</v>
      </c>
      <c r="M288" s="87">
        <f t="shared" si="56"/>
        <v>3366.5</v>
      </c>
      <c r="N288" s="13">
        <f>N289</f>
        <v>0</v>
      </c>
      <c r="O288" s="87">
        <f t="shared" si="57"/>
        <v>3366.5</v>
      </c>
      <c r="P288" s="13">
        <f>P289</f>
        <v>0</v>
      </c>
      <c r="Q288" s="87">
        <f t="shared" si="53"/>
        <v>3366.5</v>
      </c>
      <c r="R288" s="13">
        <f>R289</f>
        <v>0</v>
      </c>
      <c r="S288" s="87">
        <f t="shared" si="66"/>
        <v>3366.5</v>
      </c>
    </row>
    <row r="289" spans="1:19" s="91" customFormat="1" ht="33">
      <c r="A289" s="62" t="str">
        <f ca="1">IF(ISERROR(MATCH(F289,Код_КВР,0)),"",INDIRECT(ADDRESS(MATCH(F289,Код_КВР,0)+1,2,,,"КВР")))</f>
        <v>Предоставление субсидий бюджетным, автономным учреждениям и иным некоммерческим организациям</v>
      </c>
      <c r="B289" s="115">
        <v>801</v>
      </c>
      <c r="C289" s="8" t="s">
        <v>224</v>
      </c>
      <c r="D289" s="8" t="s">
        <v>204</v>
      </c>
      <c r="E289" s="115" t="s">
        <v>571</v>
      </c>
      <c r="F289" s="115">
        <v>600</v>
      </c>
      <c r="G289" s="70">
        <f>G290</f>
        <v>3366.5</v>
      </c>
      <c r="H289" s="70">
        <f>H290</f>
        <v>0</v>
      </c>
      <c r="I289" s="70">
        <f t="shared" si="60"/>
        <v>3366.5</v>
      </c>
      <c r="J289" s="70">
        <f>J290</f>
        <v>0</v>
      </c>
      <c r="K289" s="87">
        <f t="shared" si="61"/>
        <v>3366.5</v>
      </c>
      <c r="L289" s="13">
        <f>L290</f>
        <v>0</v>
      </c>
      <c r="M289" s="87">
        <f t="shared" si="56"/>
        <v>3366.5</v>
      </c>
      <c r="N289" s="13">
        <f>N290</f>
        <v>0</v>
      </c>
      <c r="O289" s="87">
        <f t="shared" si="57"/>
        <v>3366.5</v>
      </c>
      <c r="P289" s="13">
        <f>P290</f>
        <v>0</v>
      </c>
      <c r="Q289" s="87">
        <f aca="true" t="shared" si="67" ref="Q289:Q356">O289+P289</f>
        <v>3366.5</v>
      </c>
      <c r="R289" s="13">
        <f>R290</f>
        <v>0</v>
      </c>
      <c r="S289" s="87">
        <f t="shared" si="66"/>
        <v>3366.5</v>
      </c>
    </row>
    <row r="290" spans="1:19" s="91" customFormat="1" ht="33">
      <c r="A290" s="62" t="str">
        <f ca="1">IF(ISERROR(MATCH(F290,Код_КВР,0)),"",INDIRECT(ADDRESS(MATCH(F290,Код_КВР,0)+1,2,,,"КВР")))</f>
        <v>Субсидии некоммерческим организациям (за исключением государственных (муниципальных) учреждений)</v>
      </c>
      <c r="B290" s="115">
        <v>801</v>
      </c>
      <c r="C290" s="8" t="s">
        <v>224</v>
      </c>
      <c r="D290" s="8" t="s">
        <v>204</v>
      </c>
      <c r="E290" s="115" t="s">
        <v>571</v>
      </c>
      <c r="F290" s="115">
        <v>630</v>
      </c>
      <c r="G290" s="70">
        <v>3366.5</v>
      </c>
      <c r="H290" s="70"/>
      <c r="I290" s="70">
        <f t="shared" si="60"/>
        <v>3366.5</v>
      </c>
      <c r="J290" s="70"/>
      <c r="K290" s="87">
        <f t="shared" si="61"/>
        <v>3366.5</v>
      </c>
      <c r="L290" s="13"/>
      <c r="M290" s="87">
        <f t="shared" si="56"/>
        <v>3366.5</v>
      </c>
      <c r="N290" s="13"/>
      <c r="O290" s="87">
        <f t="shared" si="57"/>
        <v>3366.5</v>
      </c>
      <c r="P290" s="13"/>
      <c r="Q290" s="87">
        <f t="shared" si="67"/>
        <v>3366.5</v>
      </c>
      <c r="R290" s="13"/>
      <c r="S290" s="87">
        <f t="shared" si="66"/>
        <v>3366.5</v>
      </c>
    </row>
    <row r="291" spans="1:19" s="91" customFormat="1" ht="33" hidden="1">
      <c r="A291" s="62" t="str">
        <f ca="1">IF(ISERROR(MATCH(E291,Код_КЦСР,0)),"",INDIRECT(ADDRESS(MATCH(E291,Код_КЦСР,0)+1,2,,,"КЦСР")))</f>
        <v>Муниципальная программа «Развитие внутреннего и въездного туризма в г. Череповце» на 2014-2022 годы</v>
      </c>
      <c r="B291" s="115">
        <v>801</v>
      </c>
      <c r="C291" s="8" t="s">
        <v>224</v>
      </c>
      <c r="D291" s="8" t="s">
        <v>204</v>
      </c>
      <c r="E291" s="115" t="s">
        <v>1</v>
      </c>
      <c r="F291" s="115"/>
      <c r="G291" s="70">
        <f aca="true" t="shared" si="68" ref="G291:R294">G292</f>
        <v>0</v>
      </c>
      <c r="H291" s="70">
        <f t="shared" si="68"/>
        <v>0</v>
      </c>
      <c r="I291" s="70">
        <f t="shared" si="60"/>
        <v>0</v>
      </c>
      <c r="J291" s="70">
        <f t="shared" si="68"/>
        <v>0</v>
      </c>
      <c r="K291" s="87">
        <f t="shared" si="61"/>
        <v>0</v>
      </c>
      <c r="L291" s="13">
        <f t="shared" si="68"/>
        <v>0</v>
      </c>
      <c r="M291" s="87">
        <f t="shared" si="56"/>
        <v>0</v>
      </c>
      <c r="N291" s="13">
        <f t="shared" si="68"/>
        <v>0</v>
      </c>
      <c r="O291" s="87">
        <f t="shared" si="57"/>
        <v>0</v>
      </c>
      <c r="P291" s="13">
        <f t="shared" si="68"/>
        <v>0</v>
      </c>
      <c r="Q291" s="87">
        <f t="shared" si="67"/>
        <v>0</v>
      </c>
      <c r="R291" s="13">
        <f t="shared" si="68"/>
        <v>0</v>
      </c>
      <c r="S291" s="87">
        <f t="shared" si="66"/>
        <v>0</v>
      </c>
    </row>
    <row r="292" spans="1:19" s="91" customFormat="1" ht="33" hidden="1">
      <c r="A292" s="62" t="str">
        <f ca="1">IF(ISERROR(MATCH(E292,Код_КЦСР,0)),"",INDIRECT(ADDRESS(MATCH(E292,Код_КЦСР,0)+1,2,,,"КЦСР")))</f>
        <v>Продвижение городского туристского продукта на российском и международном рынках</v>
      </c>
      <c r="B292" s="115">
        <v>801</v>
      </c>
      <c r="C292" s="8" t="s">
        <v>224</v>
      </c>
      <c r="D292" s="8" t="s">
        <v>204</v>
      </c>
      <c r="E292" s="115" t="s">
        <v>2</v>
      </c>
      <c r="F292" s="115"/>
      <c r="G292" s="70">
        <f t="shared" si="68"/>
        <v>0</v>
      </c>
      <c r="H292" s="70">
        <f t="shared" si="68"/>
        <v>0</v>
      </c>
      <c r="I292" s="70">
        <f t="shared" si="60"/>
        <v>0</v>
      </c>
      <c r="J292" s="70">
        <f t="shared" si="68"/>
        <v>0</v>
      </c>
      <c r="K292" s="87">
        <f t="shared" si="61"/>
        <v>0</v>
      </c>
      <c r="L292" s="13">
        <f t="shared" si="68"/>
        <v>0</v>
      </c>
      <c r="M292" s="87">
        <f t="shared" si="56"/>
        <v>0</v>
      </c>
      <c r="N292" s="13">
        <f t="shared" si="68"/>
        <v>0</v>
      </c>
      <c r="O292" s="87">
        <f t="shared" si="57"/>
        <v>0</v>
      </c>
      <c r="P292" s="13">
        <f t="shared" si="68"/>
        <v>0</v>
      </c>
      <c r="Q292" s="87">
        <f t="shared" si="67"/>
        <v>0</v>
      </c>
      <c r="R292" s="13">
        <f t="shared" si="68"/>
        <v>0</v>
      </c>
      <c r="S292" s="87">
        <f t="shared" si="66"/>
        <v>0</v>
      </c>
    </row>
    <row r="293" spans="1:19" s="91" customFormat="1" ht="12.75" hidden="1">
      <c r="A293" s="62" t="str">
        <f ca="1">IF(ISERROR(MATCH(F293,Код_КВР,0)),"",INDIRECT(ADDRESS(MATCH(F293,Код_КВР,0)+1,2,,,"КВР")))</f>
        <v>Закупка товаров, работ и услуг для муниципальных нужд</v>
      </c>
      <c r="B293" s="115">
        <v>801</v>
      </c>
      <c r="C293" s="8" t="s">
        <v>224</v>
      </c>
      <c r="D293" s="8" t="s">
        <v>204</v>
      </c>
      <c r="E293" s="115" t="s">
        <v>2</v>
      </c>
      <c r="F293" s="115">
        <v>200</v>
      </c>
      <c r="G293" s="70">
        <f t="shared" si="68"/>
        <v>0</v>
      </c>
      <c r="H293" s="70">
        <f t="shared" si="68"/>
        <v>0</v>
      </c>
      <c r="I293" s="70">
        <f t="shared" si="60"/>
        <v>0</v>
      </c>
      <c r="J293" s="70">
        <f t="shared" si="68"/>
        <v>0</v>
      </c>
      <c r="K293" s="87">
        <f t="shared" si="61"/>
        <v>0</v>
      </c>
      <c r="L293" s="13">
        <f t="shared" si="68"/>
        <v>0</v>
      </c>
      <c r="M293" s="87">
        <f t="shared" si="56"/>
        <v>0</v>
      </c>
      <c r="N293" s="13">
        <f t="shared" si="68"/>
        <v>0</v>
      </c>
      <c r="O293" s="87">
        <f t="shared" si="57"/>
        <v>0</v>
      </c>
      <c r="P293" s="13">
        <f t="shared" si="68"/>
        <v>0</v>
      </c>
      <c r="Q293" s="87">
        <f t="shared" si="67"/>
        <v>0</v>
      </c>
      <c r="R293" s="13">
        <f t="shared" si="68"/>
        <v>0</v>
      </c>
      <c r="S293" s="87">
        <f t="shared" si="66"/>
        <v>0</v>
      </c>
    </row>
    <row r="294" spans="1:19" s="91" customFormat="1" ht="33" hidden="1">
      <c r="A294" s="62" t="str">
        <f ca="1">IF(ISERROR(MATCH(F294,Код_КВР,0)),"",INDIRECT(ADDRESS(MATCH(F294,Код_КВР,0)+1,2,,,"КВР")))</f>
        <v>Иные закупки товаров, работ и услуг для обеспечения муниципальных нужд</v>
      </c>
      <c r="B294" s="115">
        <v>801</v>
      </c>
      <c r="C294" s="8" t="s">
        <v>224</v>
      </c>
      <c r="D294" s="8" t="s">
        <v>204</v>
      </c>
      <c r="E294" s="115" t="s">
        <v>2</v>
      </c>
      <c r="F294" s="115">
        <v>240</v>
      </c>
      <c r="G294" s="70">
        <f t="shared" si="68"/>
        <v>0</v>
      </c>
      <c r="H294" s="70">
        <f t="shared" si="68"/>
        <v>0</v>
      </c>
      <c r="I294" s="70">
        <f t="shared" si="60"/>
        <v>0</v>
      </c>
      <c r="J294" s="70">
        <f t="shared" si="68"/>
        <v>0</v>
      </c>
      <c r="K294" s="87">
        <f t="shared" si="61"/>
        <v>0</v>
      </c>
      <c r="L294" s="13">
        <f t="shared" si="68"/>
        <v>0</v>
      </c>
      <c r="M294" s="87">
        <f t="shared" si="56"/>
        <v>0</v>
      </c>
      <c r="N294" s="13">
        <f t="shared" si="68"/>
        <v>0</v>
      </c>
      <c r="O294" s="87">
        <f t="shared" si="57"/>
        <v>0</v>
      </c>
      <c r="P294" s="13">
        <f t="shared" si="68"/>
        <v>0</v>
      </c>
      <c r="Q294" s="87">
        <f t="shared" si="67"/>
        <v>0</v>
      </c>
      <c r="R294" s="13">
        <f t="shared" si="68"/>
        <v>0</v>
      </c>
      <c r="S294" s="87">
        <f t="shared" si="66"/>
        <v>0</v>
      </c>
    </row>
    <row r="295" spans="1:19" s="91" customFormat="1" ht="33" hidden="1">
      <c r="A295" s="62" t="str">
        <f ca="1">IF(ISERROR(MATCH(F295,Код_КВР,0)),"",INDIRECT(ADDRESS(MATCH(F295,Код_КВР,0)+1,2,,,"КВР")))</f>
        <v xml:space="preserve">Прочая закупка товаров, работ и услуг для обеспечения муниципальных нужд         </v>
      </c>
      <c r="B295" s="115">
        <v>801</v>
      </c>
      <c r="C295" s="8" t="s">
        <v>224</v>
      </c>
      <c r="D295" s="8" t="s">
        <v>204</v>
      </c>
      <c r="E295" s="115" t="s">
        <v>2</v>
      </c>
      <c r="F295" s="115">
        <v>244</v>
      </c>
      <c r="G295" s="70"/>
      <c r="H295" s="70"/>
      <c r="I295" s="70">
        <f t="shared" si="60"/>
        <v>0</v>
      </c>
      <c r="J295" s="70"/>
      <c r="K295" s="87">
        <f t="shared" si="61"/>
        <v>0</v>
      </c>
      <c r="L295" s="13"/>
      <c r="M295" s="87">
        <f aca="true" t="shared" si="69" ref="M295:M362">K295+L295</f>
        <v>0</v>
      </c>
      <c r="N295" s="13"/>
      <c r="O295" s="87">
        <f aca="true" t="shared" si="70" ref="O295:O362">M295+N295</f>
        <v>0</v>
      </c>
      <c r="P295" s="13"/>
      <c r="Q295" s="87">
        <f t="shared" si="67"/>
        <v>0</v>
      </c>
      <c r="R295" s="13"/>
      <c r="S295" s="87">
        <f t="shared" si="66"/>
        <v>0</v>
      </c>
    </row>
    <row r="296" spans="1:19" s="91" customFormat="1" ht="12.75">
      <c r="A296" s="62" t="str">
        <f ca="1">IF(ISERROR(MATCH(C296,Код_Раздел,0)),"",INDIRECT(ADDRESS(MATCH(C296,Код_Раздел,0)+1,2,,,"Раздел")))</f>
        <v>Образование</v>
      </c>
      <c r="B296" s="115">
        <v>801</v>
      </c>
      <c r="C296" s="8" t="s">
        <v>203</v>
      </c>
      <c r="D296" s="8"/>
      <c r="E296" s="115"/>
      <c r="F296" s="115"/>
      <c r="G296" s="70">
        <f>G297</f>
        <v>8002.7</v>
      </c>
      <c r="H296" s="70">
        <f>H297</f>
        <v>0</v>
      </c>
      <c r="I296" s="70">
        <f t="shared" si="60"/>
        <v>8002.7</v>
      </c>
      <c r="J296" s="70">
        <f>J297</f>
        <v>0.7</v>
      </c>
      <c r="K296" s="87">
        <f t="shared" si="61"/>
        <v>8003.4</v>
      </c>
      <c r="L296" s="13">
        <f>L297</f>
        <v>-100.6</v>
      </c>
      <c r="M296" s="87">
        <f t="shared" si="69"/>
        <v>7902.799999999999</v>
      </c>
      <c r="N296" s="13">
        <f>N297</f>
        <v>0</v>
      </c>
      <c r="O296" s="87">
        <f t="shared" si="70"/>
        <v>7902.799999999999</v>
      </c>
      <c r="P296" s="13">
        <f>P297</f>
        <v>0</v>
      </c>
      <c r="Q296" s="87">
        <f t="shared" si="67"/>
        <v>7902.799999999999</v>
      </c>
      <c r="R296" s="13">
        <f>R297</f>
        <v>0</v>
      </c>
      <c r="S296" s="87">
        <f t="shared" si="66"/>
        <v>7902.799999999999</v>
      </c>
    </row>
    <row r="297" spans="1:19" s="91" customFormat="1" ht="12.75">
      <c r="A297" s="12" t="s">
        <v>207</v>
      </c>
      <c r="B297" s="115">
        <v>801</v>
      </c>
      <c r="C297" s="8" t="s">
        <v>203</v>
      </c>
      <c r="D297" s="8" t="s">
        <v>203</v>
      </c>
      <c r="E297" s="115"/>
      <c r="F297" s="115"/>
      <c r="G297" s="70">
        <f>G298+G307</f>
        <v>8002.7</v>
      </c>
      <c r="H297" s="70">
        <f>H298+H307</f>
        <v>0</v>
      </c>
      <c r="I297" s="70">
        <f t="shared" si="60"/>
        <v>8002.7</v>
      </c>
      <c r="J297" s="70">
        <f>J298+J307+J320</f>
        <v>0.7</v>
      </c>
      <c r="K297" s="87">
        <f t="shared" si="61"/>
        <v>8003.4</v>
      </c>
      <c r="L297" s="13">
        <f>L298+L307+L320</f>
        <v>-100.6</v>
      </c>
      <c r="M297" s="87">
        <f t="shared" si="69"/>
        <v>7902.799999999999</v>
      </c>
      <c r="N297" s="13">
        <f>N298+N307+N320</f>
        <v>0</v>
      </c>
      <c r="O297" s="87">
        <f t="shared" si="70"/>
        <v>7902.799999999999</v>
      </c>
      <c r="P297" s="13">
        <f>P298+P307+P320</f>
        <v>0</v>
      </c>
      <c r="Q297" s="87">
        <f t="shared" si="67"/>
        <v>7902.799999999999</v>
      </c>
      <c r="R297" s="13">
        <f>R298+R307+R320</f>
        <v>0</v>
      </c>
      <c r="S297" s="87">
        <f t="shared" si="66"/>
        <v>7902.799999999999</v>
      </c>
    </row>
    <row r="298" spans="1:19" s="91" customFormat="1" ht="33">
      <c r="A298" s="62" t="str">
        <f ca="1">IF(ISERROR(MATCH(E298,Код_КЦСР,0)),"",INDIRECT(ADDRESS(MATCH(E298,Код_КЦСР,0)+1,2,,,"КЦСР")))</f>
        <v>Муниципальная программа «Развитие молодежной политики» на 2013-2018 годы</v>
      </c>
      <c r="B298" s="115">
        <v>801</v>
      </c>
      <c r="C298" s="8" t="s">
        <v>203</v>
      </c>
      <c r="D298" s="8" t="s">
        <v>203</v>
      </c>
      <c r="E298" s="115" t="s">
        <v>573</v>
      </c>
      <c r="F298" s="115"/>
      <c r="G298" s="70">
        <f>G299+G303</f>
        <v>7672.7</v>
      </c>
      <c r="H298" s="70">
        <f>H299+H303</f>
        <v>0</v>
      </c>
      <c r="I298" s="70">
        <f t="shared" si="60"/>
        <v>7672.7</v>
      </c>
      <c r="J298" s="70">
        <f>J299+J303</f>
        <v>0</v>
      </c>
      <c r="K298" s="87">
        <f t="shared" si="61"/>
        <v>7672.7</v>
      </c>
      <c r="L298" s="13">
        <f>L299+L303</f>
        <v>-100.6</v>
      </c>
      <c r="M298" s="87">
        <f t="shared" si="69"/>
        <v>7572.099999999999</v>
      </c>
      <c r="N298" s="13">
        <f>N299+N303</f>
        <v>0</v>
      </c>
      <c r="O298" s="87">
        <f t="shared" si="70"/>
        <v>7572.099999999999</v>
      </c>
      <c r="P298" s="13">
        <f>P299+P303</f>
        <v>0</v>
      </c>
      <c r="Q298" s="87">
        <f t="shared" si="67"/>
        <v>7572.099999999999</v>
      </c>
      <c r="R298" s="13">
        <f>R299+R303</f>
        <v>0</v>
      </c>
      <c r="S298" s="87">
        <f t="shared" si="66"/>
        <v>7572.099999999999</v>
      </c>
    </row>
    <row r="299" spans="1:19" s="91" customFormat="1" ht="49.5">
      <c r="A299" s="62" t="str">
        <f ca="1">IF(ISERROR(MATCH(E299,Код_КЦСР,0)),"",INDIRECT(ADDRESS(MATCH(E299,Код_КЦСР,0)+1,2,,,"КЦСР")))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99" s="115">
        <v>801</v>
      </c>
      <c r="C299" s="8" t="s">
        <v>203</v>
      </c>
      <c r="D299" s="8" t="s">
        <v>203</v>
      </c>
      <c r="E299" s="115" t="s">
        <v>577</v>
      </c>
      <c r="F299" s="115"/>
      <c r="G299" s="70">
        <f aca="true" t="shared" si="71" ref="G299:R301">G300</f>
        <v>844.8</v>
      </c>
      <c r="H299" s="70">
        <f t="shared" si="71"/>
        <v>0</v>
      </c>
      <c r="I299" s="70">
        <f t="shared" si="60"/>
        <v>844.8</v>
      </c>
      <c r="J299" s="70">
        <f t="shared" si="71"/>
        <v>0</v>
      </c>
      <c r="K299" s="87">
        <f t="shared" si="61"/>
        <v>844.8</v>
      </c>
      <c r="L299" s="13">
        <f t="shared" si="71"/>
        <v>0</v>
      </c>
      <c r="M299" s="87">
        <f t="shared" si="69"/>
        <v>844.8</v>
      </c>
      <c r="N299" s="13">
        <f t="shared" si="71"/>
        <v>0</v>
      </c>
      <c r="O299" s="87">
        <f t="shared" si="70"/>
        <v>844.8</v>
      </c>
      <c r="P299" s="13">
        <f t="shared" si="71"/>
        <v>0</v>
      </c>
      <c r="Q299" s="87">
        <f t="shared" si="67"/>
        <v>844.8</v>
      </c>
      <c r="R299" s="13">
        <f t="shared" si="71"/>
        <v>0</v>
      </c>
      <c r="S299" s="87">
        <f t="shared" si="66"/>
        <v>844.8</v>
      </c>
    </row>
    <row r="300" spans="1:19" s="91" customFormat="1" ht="33">
      <c r="A300" s="62" t="str">
        <f ca="1">IF(ISERROR(MATCH(F300,Код_КВР,0)),"",INDIRECT(ADDRESS(MATCH(F300,Код_КВР,0)+1,2,,,"КВР")))</f>
        <v>Предоставление субсидий бюджетным, автономным учреждениям и иным некоммерческим организациям</v>
      </c>
      <c r="B300" s="115">
        <v>801</v>
      </c>
      <c r="C300" s="8" t="s">
        <v>203</v>
      </c>
      <c r="D300" s="8" t="s">
        <v>203</v>
      </c>
      <c r="E300" s="115" t="s">
        <v>577</v>
      </c>
      <c r="F300" s="115">
        <v>600</v>
      </c>
      <c r="G300" s="70">
        <f t="shared" si="71"/>
        <v>844.8</v>
      </c>
      <c r="H300" s="70">
        <f t="shared" si="71"/>
        <v>0</v>
      </c>
      <c r="I300" s="70">
        <f t="shared" si="60"/>
        <v>844.8</v>
      </c>
      <c r="J300" s="70">
        <f t="shared" si="71"/>
        <v>0</v>
      </c>
      <c r="K300" s="87">
        <f t="shared" si="61"/>
        <v>844.8</v>
      </c>
      <c r="L300" s="13">
        <f t="shared" si="71"/>
        <v>0</v>
      </c>
      <c r="M300" s="87">
        <f t="shared" si="69"/>
        <v>844.8</v>
      </c>
      <c r="N300" s="13">
        <f t="shared" si="71"/>
        <v>0</v>
      </c>
      <c r="O300" s="87">
        <f t="shared" si="70"/>
        <v>844.8</v>
      </c>
      <c r="P300" s="13">
        <f t="shared" si="71"/>
        <v>0</v>
      </c>
      <c r="Q300" s="87">
        <f t="shared" si="67"/>
        <v>844.8</v>
      </c>
      <c r="R300" s="13">
        <f t="shared" si="71"/>
        <v>0</v>
      </c>
      <c r="S300" s="87">
        <f t="shared" si="66"/>
        <v>844.8</v>
      </c>
    </row>
    <row r="301" spans="1:19" s="91" customFormat="1" ht="12.75">
      <c r="A301" s="62" t="str">
        <f ca="1">IF(ISERROR(MATCH(F301,Код_КВР,0)),"",INDIRECT(ADDRESS(MATCH(F301,Код_КВР,0)+1,2,,,"КВР")))</f>
        <v>Субсидии бюджетным учреждениям</v>
      </c>
      <c r="B301" s="115">
        <v>801</v>
      </c>
      <c r="C301" s="8" t="s">
        <v>203</v>
      </c>
      <c r="D301" s="8" t="s">
        <v>203</v>
      </c>
      <c r="E301" s="115" t="s">
        <v>577</v>
      </c>
      <c r="F301" s="115">
        <v>610</v>
      </c>
      <c r="G301" s="70">
        <f t="shared" si="71"/>
        <v>844.8</v>
      </c>
      <c r="H301" s="70">
        <f t="shared" si="71"/>
        <v>0</v>
      </c>
      <c r="I301" s="70">
        <f t="shared" si="60"/>
        <v>844.8</v>
      </c>
      <c r="J301" s="70">
        <f t="shared" si="71"/>
        <v>0</v>
      </c>
      <c r="K301" s="87">
        <f t="shared" si="61"/>
        <v>844.8</v>
      </c>
      <c r="L301" s="13">
        <f t="shared" si="71"/>
        <v>0</v>
      </c>
      <c r="M301" s="87">
        <f t="shared" si="69"/>
        <v>844.8</v>
      </c>
      <c r="N301" s="13">
        <f t="shared" si="71"/>
        <v>0</v>
      </c>
      <c r="O301" s="87">
        <f t="shared" si="70"/>
        <v>844.8</v>
      </c>
      <c r="P301" s="13">
        <f t="shared" si="71"/>
        <v>0</v>
      </c>
      <c r="Q301" s="87">
        <f t="shared" si="67"/>
        <v>844.8</v>
      </c>
      <c r="R301" s="13">
        <f t="shared" si="71"/>
        <v>0</v>
      </c>
      <c r="S301" s="87">
        <f t="shared" si="66"/>
        <v>844.8</v>
      </c>
    </row>
    <row r="302" spans="1:19" s="91" customFormat="1" ht="49.5">
      <c r="A302" s="62" t="str">
        <f ca="1">IF(ISERROR(MATCH(F302,Код_КВР,0)),"",INDIRECT(ADDRESS(MATCH(F302,Код_КВР,0)+1,2,,,"КВР")))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2" s="115">
        <v>801</v>
      </c>
      <c r="C302" s="8" t="s">
        <v>203</v>
      </c>
      <c r="D302" s="8" t="s">
        <v>203</v>
      </c>
      <c r="E302" s="115" t="s">
        <v>577</v>
      </c>
      <c r="F302" s="115">
        <v>611</v>
      </c>
      <c r="G302" s="70">
        <v>844.8</v>
      </c>
      <c r="H302" s="70"/>
      <c r="I302" s="70">
        <f t="shared" si="60"/>
        <v>844.8</v>
      </c>
      <c r="J302" s="70"/>
      <c r="K302" s="87">
        <f t="shared" si="61"/>
        <v>844.8</v>
      </c>
      <c r="L302" s="13"/>
      <c r="M302" s="87">
        <f t="shared" si="69"/>
        <v>844.8</v>
      </c>
      <c r="N302" s="13"/>
      <c r="O302" s="87">
        <f t="shared" si="70"/>
        <v>844.8</v>
      </c>
      <c r="P302" s="13"/>
      <c r="Q302" s="87">
        <f t="shared" si="67"/>
        <v>844.8</v>
      </c>
      <c r="R302" s="13"/>
      <c r="S302" s="87">
        <f t="shared" si="66"/>
        <v>844.8</v>
      </c>
    </row>
    <row r="303" spans="1:19" s="91" customFormat="1" ht="66">
      <c r="A303" s="62" t="str">
        <f ca="1">IF(ISERROR(MATCH(E303,Код_КЦСР,0)),"",INDIRECT(ADDRESS(MATCH(E303,Код_КЦСР,0)+1,2,,,"КЦСР")))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303" s="115">
        <v>801</v>
      </c>
      <c r="C303" s="8" t="s">
        <v>203</v>
      </c>
      <c r="D303" s="8" t="s">
        <v>203</v>
      </c>
      <c r="E303" s="115" t="s">
        <v>578</v>
      </c>
      <c r="F303" s="115"/>
      <c r="G303" s="70">
        <f aca="true" t="shared" si="72" ref="G303:R305">G304</f>
        <v>6827.9</v>
      </c>
      <c r="H303" s="70">
        <f t="shared" si="72"/>
        <v>0</v>
      </c>
      <c r="I303" s="70">
        <f t="shared" si="60"/>
        <v>6827.9</v>
      </c>
      <c r="J303" s="70">
        <f t="shared" si="72"/>
        <v>0</v>
      </c>
      <c r="K303" s="87">
        <f t="shared" si="61"/>
        <v>6827.9</v>
      </c>
      <c r="L303" s="13">
        <f t="shared" si="72"/>
        <v>-100.6</v>
      </c>
      <c r="M303" s="87">
        <f t="shared" si="69"/>
        <v>6727.299999999999</v>
      </c>
      <c r="N303" s="13">
        <f t="shared" si="72"/>
        <v>0</v>
      </c>
      <c r="O303" s="87">
        <f t="shared" si="70"/>
        <v>6727.299999999999</v>
      </c>
      <c r="P303" s="13">
        <f t="shared" si="72"/>
        <v>0</v>
      </c>
      <c r="Q303" s="87">
        <f t="shared" si="67"/>
        <v>6727.299999999999</v>
      </c>
      <c r="R303" s="13">
        <f t="shared" si="72"/>
        <v>0</v>
      </c>
      <c r="S303" s="87">
        <f t="shared" si="66"/>
        <v>6727.299999999999</v>
      </c>
    </row>
    <row r="304" spans="1:19" s="91" customFormat="1" ht="33">
      <c r="A304" s="62" t="str">
        <f ca="1">IF(ISERROR(MATCH(F304,Код_КВР,0)),"",INDIRECT(ADDRESS(MATCH(F304,Код_КВР,0)+1,2,,,"КВР")))</f>
        <v>Предоставление субсидий бюджетным, автономным учреждениям и иным некоммерческим организациям</v>
      </c>
      <c r="B304" s="115">
        <v>801</v>
      </c>
      <c r="C304" s="8" t="s">
        <v>203</v>
      </c>
      <c r="D304" s="8" t="s">
        <v>203</v>
      </c>
      <c r="E304" s="115" t="s">
        <v>578</v>
      </c>
      <c r="F304" s="115">
        <v>600</v>
      </c>
      <c r="G304" s="70">
        <f t="shared" si="72"/>
        <v>6827.9</v>
      </c>
      <c r="H304" s="70">
        <f t="shared" si="72"/>
        <v>0</v>
      </c>
      <c r="I304" s="70">
        <f t="shared" si="60"/>
        <v>6827.9</v>
      </c>
      <c r="J304" s="70">
        <f t="shared" si="72"/>
        <v>0</v>
      </c>
      <c r="K304" s="87">
        <f t="shared" si="61"/>
        <v>6827.9</v>
      </c>
      <c r="L304" s="13">
        <f t="shared" si="72"/>
        <v>-100.6</v>
      </c>
      <c r="M304" s="87">
        <f t="shared" si="69"/>
        <v>6727.299999999999</v>
      </c>
      <c r="N304" s="13">
        <f t="shared" si="72"/>
        <v>0</v>
      </c>
      <c r="O304" s="87">
        <f t="shared" si="70"/>
        <v>6727.299999999999</v>
      </c>
      <c r="P304" s="13">
        <f t="shared" si="72"/>
        <v>0</v>
      </c>
      <c r="Q304" s="87">
        <f t="shared" si="67"/>
        <v>6727.299999999999</v>
      </c>
      <c r="R304" s="13">
        <f t="shared" si="72"/>
        <v>0</v>
      </c>
      <c r="S304" s="87">
        <f t="shared" si="66"/>
        <v>6727.299999999999</v>
      </c>
    </row>
    <row r="305" spans="1:19" s="91" customFormat="1" ht="12.75">
      <c r="A305" s="62" t="str">
        <f ca="1">IF(ISERROR(MATCH(F305,Код_КВР,0)),"",INDIRECT(ADDRESS(MATCH(F305,Код_КВР,0)+1,2,,,"КВР")))</f>
        <v>Субсидии бюджетным учреждениям</v>
      </c>
      <c r="B305" s="115">
        <v>801</v>
      </c>
      <c r="C305" s="8" t="s">
        <v>203</v>
      </c>
      <c r="D305" s="8" t="s">
        <v>203</v>
      </c>
      <c r="E305" s="115" t="s">
        <v>578</v>
      </c>
      <c r="F305" s="115">
        <v>610</v>
      </c>
      <c r="G305" s="70">
        <f t="shared" si="72"/>
        <v>6827.9</v>
      </c>
      <c r="H305" s="70">
        <f t="shared" si="72"/>
        <v>0</v>
      </c>
      <c r="I305" s="70">
        <f t="shared" si="60"/>
        <v>6827.9</v>
      </c>
      <c r="J305" s="70">
        <f t="shared" si="72"/>
        <v>0</v>
      </c>
      <c r="K305" s="87">
        <f t="shared" si="61"/>
        <v>6827.9</v>
      </c>
      <c r="L305" s="13">
        <f t="shared" si="72"/>
        <v>-100.6</v>
      </c>
      <c r="M305" s="87">
        <f t="shared" si="69"/>
        <v>6727.299999999999</v>
      </c>
      <c r="N305" s="13">
        <f t="shared" si="72"/>
        <v>0</v>
      </c>
      <c r="O305" s="87">
        <f t="shared" si="70"/>
        <v>6727.299999999999</v>
      </c>
      <c r="P305" s="13">
        <f t="shared" si="72"/>
        <v>0</v>
      </c>
      <c r="Q305" s="87">
        <f t="shared" si="67"/>
        <v>6727.299999999999</v>
      </c>
      <c r="R305" s="13">
        <f t="shared" si="72"/>
        <v>0</v>
      </c>
      <c r="S305" s="87">
        <f t="shared" si="66"/>
        <v>6727.299999999999</v>
      </c>
    </row>
    <row r="306" spans="1:19" s="91" customFormat="1" ht="49.5">
      <c r="A306" s="62" t="str">
        <f ca="1">IF(ISERROR(MATCH(F306,Код_КВР,0)),"",INDIRECT(ADDRESS(MATCH(F306,Код_КВР,0)+1,2,,,"КВР")))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6" s="115">
        <v>801</v>
      </c>
      <c r="C306" s="8" t="s">
        <v>203</v>
      </c>
      <c r="D306" s="8" t="s">
        <v>203</v>
      </c>
      <c r="E306" s="115" t="s">
        <v>578</v>
      </c>
      <c r="F306" s="115">
        <v>611</v>
      </c>
      <c r="G306" s="70">
        <f>5894.2+933.7</f>
        <v>6827.9</v>
      </c>
      <c r="H306" s="70"/>
      <c r="I306" s="70">
        <f t="shared" si="60"/>
        <v>6827.9</v>
      </c>
      <c r="J306" s="70"/>
      <c r="K306" s="87">
        <f t="shared" si="61"/>
        <v>6827.9</v>
      </c>
      <c r="L306" s="13">
        <v>-100.6</v>
      </c>
      <c r="M306" s="87">
        <f t="shared" si="69"/>
        <v>6727.299999999999</v>
      </c>
      <c r="N306" s="13"/>
      <c r="O306" s="87">
        <f t="shared" si="70"/>
        <v>6727.299999999999</v>
      </c>
      <c r="P306" s="13"/>
      <c r="Q306" s="87">
        <f t="shared" si="67"/>
        <v>6727.299999999999</v>
      </c>
      <c r="R306" s="13"/>
      <c r="S306" s="87">
        <f t="shared" si="66"/>
        <v>6727.299999999999</v>
      </c>
    </row>
    <row r="307" spans="1:19" ht="12.75">
      <c r="A307" s="62" t="str">
        <f ca="1">IF(ISERROR(MATCH(E307,Код_КЦСР,0)),"",INDIRECT(ADDRESS(MATCH(E307,Код_КЦСР,0)+1,2,,,"КЦСР")))</f>
        <v>Муниципальная программа «Здоровый город» на 2014-2022 годы</v>
      </c>
      <c r="B307" s="115">
        <v>801</v>
      </c>
      <c r="C307" s="8" t="s">
        <v>203</v>
      </c>
      <c r="D307" s="8" t="s">
        <v>203</v>
      </c>
      <c r="E307" s="115" t="s">
        <v>579</v>
      </c>
      <c r="F307" s="115"/>
      <c r="G307" s="70">
        <f>G308+G312+G316</f>
        <v>330</v>
      </c>
      <c r="H307" s="70">
        <f>H308+H312+H316</f>
        <v>0</v>
      </c>
      <c r="I307" s="70">
        <f t="shared" si="60"/>
        <v>330</v>
      </c>
      <c r="J307" s="70">
        <f>J308+J312+J316</f>
        <v>0</v>
      </c>
      <c r="K307" s="87">
        <f t="shared" si="61"/>
        <v>330</v>
      </c>
      <c r="L307" s="13">
        <f>L308+L312+L316</f>
        <v>0</v>
      </c>
      <c r="M307" s="87">
        <f t="shared" si="69"/>
        <v>330</v>
      </c>
      <c r="N307" s="13">
        <f>N308+N312+N316</f>
        <v>0</v>
      </c>
      <c r="O307" s="87">
        <f t="shared" si="70"/>
        <v>330</v>
      </c>
      <c r="P307" s="13">
        <f>P308+P312+P316</f>
        <v>0</v>
      </c>
      <c r="Q307" s="87">
        <f t="shared" si="67"/>
        <v>330</v>
      </c>
      <c r="R307" s="13">
        <f>R308+R312+R316</f>
        <v>0</v>
      </c>
      <c r="S307" s="87">
        <f t="shared" si="66"/>
        <v>330</v>
      </c>
    </row>
    <row r="308" spans="1:19" ht="12.75" hidden="1">
      <c r="A308" s="62" t="str">
        <f ca="1">IF(ISERROR(MATCH(E308,Код_КЦСР,0)),"",INDIRECT(ADDRESS(MATCH(E308,Код_КЦСР,0)+1,2,,,"КЦСР")))</f>
        <v>Организационно-методическое обеспечение Программы</v>
      </c>
      <c r="B308" s="115">
        <v>801</v>
      </c>
      <c r="C308" s="8" t="s">
        <v>203</v>
      </c>
      <c r="D308" s="8" t="s">
        <v>203</v>
      </c>
      <c r="E308" s="115" t="s">
        <v>581</v>
      </c>
      <c r="F308" s="115"/>
      <c r="G308" s="70">
        <f aca="true" t="shared" si="73" ref="G308:R310">G309</f>
        <v>0</v>
      </c>
      <c r="H308" s="70">
        <f t="shared" si="73"/>
        <v>0</v>
      </c>
      <c r="I308" s="70">
        <f t="shared" si="60"/>
        <v>0</v>
      </c>
      <c r="J308" s="70">
        <f t="shared" si="73"/>
        <v>0</v>
      </c>
      <c r="K308" s="87">
        <f t="shared" si="61"/>
        <v>0</v>
      </c>
      <c r="L308" s="13">
        <f t="shared" si="73"/>
        <v>0</v>
      </c>
      <c r="M308" s="87">
        <f t="shared" si="69"/>
        <v>0</v>
      </c>
      <c r="N308" s="13">
        <f t="shared" si="73"/>
        <v>0</v>
      </c>
      <c r="O308" s="87">
        <f t="shared" si="70"/>
        <v>0</v>
      </c>
      <c r="P308" s="13">
        <f t="shared" si="73"/>
        <v>0</v>
      </c>
      <c r="Q308" s="87">
        <f t="shared" si="67"/>
        <v>0</v>
      </c>
      <c r="R308" s="13">
        <f t="shared" si="73"/>
        <v>0</v>
      </c>
      <c r="S308" s="87">
        <f t="shared" si="66"/>
        <v>0</v>
      </c>
    </row>
    <row r="309" spans="1:19" ht="33" hidden="1">
      <c r="A309" s="62" t="str">
        <f ca="1">IF(ISERROR(MATCH(F309,Код_КВР,0)),"",INDIRECT(ADDRESS(MATCH(F309,Код_КВР,0)+1,2,,,"КВР")))</f>
        <v>Предоставление субсидий бюджетным, автономным учреждениям и иным некоммерческим организациям</v>
      </c>
      <c r="B309" s="115">
        <v>801</v>
      </c>
      <c r="C309" s="8" t="s">
        <v>203</v>
      </c>
      <c r="D309" s="8" t="s">
        <v>203</v>
      </c>
      <c r="E309" s="115" t="s">
        <v>581</v>
      </c>
      <c r="F309" s="115">
        <v>600</v>
      </c>
      <c r="G309" s="70">
        <f t="shared" si="73"/>
        <v>0</v>
      </c>
      <c r="H309" s="70">
        <f t="shared" si="73"/>
        <v>0</v>
      </c>
      <c r="I309" s="70">
        <f t="shared" si="60"/>
        <v>0</v>
      </c>
      <c r="J309" s="70">
        <f t="shared" si="73"/>
        <v>0</v>
      </c>
      <c r="K309" s="87">
        <f t="shared" si="61"/>
        <v>0</v>
      </c>
      <c r="L309" s="13">
        <f t="shared" si="73"/>
        <v>0</v>
      </c>
      <c r="M309" s="87">
        <f t="shared" si="69"/>
        <v>0</v>
      </c>
      <c r="N309" s="13">
        <f t="shared" si="73"/>
        <v>0</v>
      </c>
      <c r="O309" s="87">
        <f t="shared" si="70"/>
        <v>0</v>
      </c>
      <c r="P309" s="13">
        <f t="shared" si="73"/>
        <v>0</v>
      </c>
      <c r="Q309" s="87">
        <f t="shared" si="67"/>
        <v>0</v>
      </c>
      <c r="R309" s="13">
        <f t="shared" si="73"/>
        <v>0</v>
      </c>
      <c r="S309" s="87">
        <f t="shared" si="66"/>
        <v>0</v>
      </c>
    </row>
    <row r="310" spans="1:19" ht="12.75" hidden="1">
      <c r="A310" s="62" t="str">
        <f ca="1">IF(ISERROR(MATCH(F310,Код_КВР,0)),"",INDIRECT(ADDRESS(MATCH(F310,Код_КВР,0)+1,2,,,"КВР")))</f>
        <v>Субсидии бюджетным учреждениям</v>
      </c>
      <c r="B310" s="115">
        <v>801</v>
      </c>
      <c r="C310" s="8" t="s">
        <v>203</v>
      </c>
      <c r="D310" s="8" t="s">
        <v>203</v>
      </c>
      <c r="E310" s="115" t="s">
        <v>581</v>
      </c>
      <c r="F310" s="115">
        <v>610</v>
      </c>
      <c r="G310" s="70">
        <f t="shared" si="73"/>
        <v>0</v>
      </c>
      <c r="H310" s="70">
        <f t="shared" si="73"/>
        <v>0</v>
      </c>
      <c r="I310" s="70">
        <f aca="true" t="shared" si="74" ref="I310:I389">G310+H310</f>
        <v>0</v>
      </c>
      <c r="J310" s="70">
        <f t="shared" si="73"/>
        <v>0</v>
      </c>
      <c r="K310" s="87">
        <f aca="true" t="shared" si="75" ref="K310:K389">I310+J310</f>
        <v>0</v>
      </c>
      <c r="L310" s="13">
        <f t="shared" si="73"/>
        <v>0</v>
      </c>
      <c r="M310" s="87">
        <f t="shared" si="69"/>
        <v>0</v>
      </c>
      <c r="N310" s="13">
        <f t="shared" si="73"/>
        <v>0</v>
      </c>
      <c r="O310" s="87">
        <f t="shared" si="70"/>
        <v>0</v>
      </c>
      <c r="P310" s="13">
        <f t="shared" si="73"/>
        <v>0</v>
      </c>
      <c r="Q310" s="87">
        <f t="shared" si="67"/>
        <v>0</v>
      </c>
      <c r="R310" s="13">
        <f t="shared" si="73"/>
        <v>0</v>
      </c>
      <c r="S310" s="87">
        <f t="shared" si="66"/>
        <v>0</v>
      </c>
    </row>
    <row r="311" spans="1:19" ht="12.75" hidden="1">
      <c r="A311" s="62" t="str">
        <f ca="1">IF(ISERROR(MATCH(F311,Код_КВР,0)),"",INDIRECT(ADDRESS(MATCH(F311,Код_КВР,0)+1,2,,,"КВР")))</f>
        <v>Субсидии бюджетным учреждениям на иные цели</v>
      </c>
      <c r="B311" s="115">
        <v>801</v>
      </c>
      <c r="C311" s="8" t="s">
        <v>203</v>
      </c>
      <c r="D311" s="8" t="s">
        <v>203</v>
      </c>
      <c r="E311" s="115" t="s">
        <v>581</v>
      </c>
      <c r="F311" s="115">
        <v>612</v>
      </c>
      <c r="G311" s="70"/>
      <c r="H311" s="70"/>
      <c r="I311" s="70">
        <f t="shared" si="74"/>
        <v>0</v>
      </c>
      <c r="J311" s="70"/>
      <c r="K311" s="87">
        <f t="shared" si="75"/>
        <v>0</v>
      </c>
      <c r="L311" s="13"/>
      <c r="M311" s="87">
        <f t="shared" si="69"/>
        <v>0</v>
      </c>
      <c r="N311" s="13"/>
      <c r="O311" s="87">
        <f t="shared" si="70"/>
        <v>0</v>
      </c>
      <c r="P311" s="13"/>
      <c r="Q311" s="87">
        <f t="shared" si="67"/>
        <v>0</v>
      </c>
      <c r="R311" s="13"/>
      <c r="S311" s="87">
        <f t="shared" si="66"/>
        <v>0</v>
      </c>
    </row>
    <row r="312" spans="1:19" ht="12.75">
      <c r="A312" s="62" t="str">
        <f ca="1">IF(ISERROR(MATCH(E312,Код_КЦСР,0)),"",INDIRECT(ADDRESS(MATCH(E312,Код_КЦСР,0)+1,2,,,"КЦСР")))</f>
        <v>Пропаганда здорового образа жизни</v>
      </c>
      <c r="B312" s="115">
        <v>801</v>
      </c>
      <c r="C312" s="8" t="s">
        <v>203</v>
      </c>
      <c r="D312" s="8" t="s">
        <v>203</v>
      </c>
      <c r="E312" s="115" t="s">
        <v>584</v>
      </c>
      <c r="F312" s="115"/>
      <c r="G312" s="70">
        <f aca="true" t="shared" si="76" ref="G312:R314">G313</f>
        <v>330</v>
      </c>
      <c r="H312" s="70">
        <f t="shared" si="76"/>
        <v>0</v>
      </c>
      <c r="I312" s="70">
        <f t="shared" si="74"/>
        <v>330</v>
      </c>
      <c r="J312" s="70">
        <f t="shared" si="76"/>
        <v>0</v>
      </c>
      <c r="K312" s="87">
        <f t="shared" si="75"/>
        <v>330</v>
      </c>
      <c r="L312" s="13">
        <f t="shared" si="76"/>
        <v>0</v>
      </c>
      <c r="M312" s="87">
        <f t="shared" si="69"/>
        <v>330</v>
      </c>
      <c r="N312" s="13">
        <f t="shared" si="76"/>
        <v>0</v>
      </c>
      <c r="O312" s="87">
        <f t="shared" si="70"/>
        <v>330</v>
      </c>
      <c r="P312" s="13">
        <f t="shared" si="76"/>
        <v>0</v>
      </c>
      <c r="Q312" s="87">
        <f t="shared" si="67"/>
        <v>330</v>
      </c>
      <c r="R312" s="13">
        <f t="shared" si="76"/>
        <v>0</v>
      </c>
      <c r="S312" s="87">
        <f t="shared" si="66"/>
        <v>330</v>
      </c>
    </row>
    <row r="313" spans="1:19" ht="33">
      <c r="A313" s="62" t="str">
        <f ca="1">IF(ISERROR(MATCH(F313,Код_КВР,0)),"",INDIRECT(ADDRESS(MATCH(F313,Код_КВР,0)+1,2,,,"КВР")))</f>
        <v>Предоставление субсидий бюджетным, автономным учреждениям и иным некоммерческим организациям</v>
      </c>
      <c r="B313" s="115">
        <v>801</v>
      </c>
      <c r="C313" s="8" t="s">
        <v>203</v>
      </c>
      <c r="D313" s="8" t="s">
        <v>203</v>
      </c>
      <c r="E313" s="115" t="s">
        <v>584</v>
      </c>
      <c r="F313" s="115">
        <v>600</v>
      </c>
      <c r="G313" s="70">
        <f t="shared" si="76"/>
        <v>330</v>
      </c>
      <c r="H313" s="70">
        <f t="shared" si="76"/>
        <v>0</v>
      </c>
      <c r="I313" s="70">
        <f t="shared" si="74"/>
        <v>330</v>
      </c>
      <c r="J313" s="70">
        <f t="shared" si="76"/>
        <v>0</v>
      </c>
      <c r="K313" s="87">
        <f t="shared" si="75"/>
        <v>330</v>
      </c>
      <c r="L313" s="13">
        <f t="shared" si="76"/>
        <v>0</v>
      </c>
      <c r="M313" s="87">
        <f t="shared" si="69"/>
        <v>330</v>
      </c>
      <c r="N313" s="13">
        <f t="shared" si="76"/>
        <v>0</v>
      </c>
      <c r="O313" s="87">
        <f t="shared" si="70"/>
        <v>330</v>
      </c>
      <c r="P313" s="13">
        <f t="shared" si="76"/>
        <v>0</v>
      </c>
      <c r="Q313" s="87">
        <f t="shared" si="67"/>
        <v>330</v>
      </c>
      <c r="R313" s="13">
        <f t="shared" si="76"/>
        <v>0</v>
      </c>
      <c r="S313" s="87">
        <f t="shared" si="66"/>
        <v>330</v>
      </c>
    </row>
    <row r="314" spans="1:19" ht="12.75">
      <c r="A314" s="62" t="str">
        <f ca="1">IF(ISERROR(MATCH(F314,Код_КВР,0)),"",INDIRECT(ADDRESS(MATCH(F314,Код_КВР,0)+1,2,,,"КВР")))</f>
        <v>Субсидии бюджетным учреждениям</v>
      </c>
      <c r="B314" s="115">
        <v>801</v>
      </c>
      <c r="C314" s="8" t="s">
        <v>203</v>
      </c>
      <c r="D314" s="8" t="s">
        <v>203</v>
      </c>
      <c r="E314" s="115" t="s">
        <v>584</v>
      </c>
      <c r="F314" s="115">
        <v>610</v>
      </c>
      <c r="G314" s="70">
        <f t="shared" si="76"/>
        <v>330</v>
      </c>
      <c r="H314" s="70">
        <f t="shared" si="76"/>
        <v>0</v>
      </c>
      <c r="I314" s="70">
        <f t="shared" si="74"/>
        <v>330</v>
      </c>
      <c r="J314" s="70">
        <f t="shared" si="76"/>
        <v>0</v>
      </c>
      <c r="K314" s="87">
        <f t="shared" si="75"/>
        <v>330</v>
      </c>
      <c r="L314" s="13">
        <f t="shared" si="76"/>
        <v>0</v>
      </c>
      <c r="M314" s="87">
        <f t="shared" si="69"/>
        <v>330</v>
      </c>
      <c r="N314" s="13">
        <f t="shared" si="76"/>
        <v>0</v>
      </c>
      <c r="O314" s="87">
        <f t="shared" si="70"/>
        <v>330</v>
      </c>
      <c r="P314" s="13">
        <f t="shared" si="76"/>
        <v>0</v>
      </c>
      <c r="Q314" s="87">
        <f t="shared" si="67"/>
        <v>330</v>
      </c>
      <c r="R314" s="13">
        <f t="shared" si="76"/>
        <v>0</v>
      </c>
      <c r="S314" s="87">
        <f t="shared" si="66"/>
        <v>330</v>
      </c>
    </row>
    <row r="315" spans="1:19" ht="12.75">
      <c r="A315" s="62" t="str">
        <f ca="1">IF(ISERROR(MATCH(F315,Код_КВР,0)),"",INDIRECT(ADDRESS(MATCH(F315,Код_КВР,0)+1,2,,,"КВР")))</f>
        <v>Субсидии бюджетным учреждениям на иные цели</v>
      </c>
      <c r="B315" s="115">
        <v>801</v>
      </c>
      <c r="C315" s="8" t="s">
        <v>203</v>
      </c>
      <c r="D315" s="8" t="s">
        <v>203</v>
      </c>
      <c r="E315" s="115" t="s">
        <v>584</v>
      </c>
      <c r="F315" s="115">
        <v>612</v>
      </c>
      <c r="G315" s="70">
        <v>330</v>
      </c>
      <c r="H315" s="65"/>
      <c r="I315" s="70">
        <f t="shared" si="74"/>
        <v>330</v>
      </c>
      <c r="J315" s="65"/>
      <c r="K315" s="87">
        <f t="shared" si="75"/>
        <v>330</v>
      </c>
      <c r="L315" s="87"/>
      <c r="M315" s="87">
        <f t="shared" si="69"/>
        <v>330</v>
      </c>
      <c r="N315" s="87"/>
      <c r="O315" s="87">
        <f t="shared" si="70"/>
        <v>330</v>
      </c>
      <c r="P315" s="87"/>
      <c r="Q315" s="87">
        <f t="shared" si="67"/>
        <v>330</v>
      </c>
      <c r="R315" s="87"/>
      <c r="S315" s="87">
        <f t="shared" si="66"/>
        <v>330</v>
      </c>
    </row>
    <row r="316" spans="1:19" ht="12.75" hidden="1">
      <c r="A316" s="62" t="str">
        <f ca="1">IF(ISERROR(MATCH(E316,Код_КЦСР,0)),"",INDIRECT(ADDRESS(MATCH(E316,Код_КЦСР,0)+1,2,,,"КЦСР")))</f>
        <v>Адаптация горожан с ограниченными возможностями</v>
      </c>
      <c r="B316" s="115">
        <v>801</v>
      </c>
      <c r="C316" s="8" t="s">
        <v>203</v>
      </c>
      <c r="D316" s="8" t="s">
        <v>203</v>
      </c>
      <c r="E316" s="115" t="s">
        <v>586</v>
      </c>
      <c r="F316" s="115"/>
      <c r="G316" s="70">
        <f>G317</f>
        <v>0</v>
      </c>
      <c r="H316" s="65"/>
      <c r="I316" s="70">
        <f t="shared" si="74"/>
        <v>0</v>
      </c>
      <c r="J316" s="65"/>
      <c r="K316" s="87">
        <f t="shared" si="75"/>
        <v>0</v>
      </c>
      <c r="L316" s="87"/>
      <c r="M316" s="87">
        <f t="shared" si="69"/>
        <v>0</v>
      </c>
      <c r="N316" s="87"/>
      <c r="O316" s="87">
        <f t="shared" si="70"/>
        <v>0</v>
      </c>
      <c r="P316" s="87"/>
      <c r="Q316" s="87">
        <f t="shared" si="67"/>
        <v>0</v>
      </c>
      <c r="R316" s="87"/>
      <c r="S316" s="87">
        <f t="shared" si="66"/>
        <v>0</v>
      </c>
    </row>
    <row r="317" spans="1:19" ht="33" hidden="1">
      <c r="A317" s="62" t="str">
        <f ca="1">IF(ISERROR(MATCH(F317,Код_КВР,0)),"",INDIRECT(ADDRESS(MATCH(F317,Код_КВР,0)+1,2,,,"КВР")))</f>
        <v>Предоставление субсидий бюджетным, автономным учреждениям и иным некоммерческим организациям</v>
      </c>
      <c r="B317" s="115">
        <v>801</v>
      </c>
      <c r="C317" s="8" t="s">
        <v>203</v>
      </c>
      <c r="D317" s="8" t="s">
        <v>203</v>
      </c>
      <c r="E317" s="115" t="s">
        <v>586</v>
      </c>
      <c r="F317" s="115">
        <v>600</v>
      </c>
      <c r="G317" s="70">
        <f>G318</f>
        <v>0</v>
      </c>
      <c r="H317" s="65"/>
      <c r="I317" s="70">
        <f t="shared" si="74"/>
        <v>0</v>
      </c>
      <c r="J317" s="65"/>
      <c r="K317" s="87">
        <f t="shared" si="75"/>
        <v>0</v>
      </c>
      <c r="L317" s="87"/>
      <c r="M317" s="87">
        <f t="shared" si="69"/>
        <v>0</v>
      </c>
      <c r="N317" s="87"/>
      <c r="O317" s="87">
        <f t="shared" si="70"/>
        <v>0</v>
      </c>
      <c r="P317" s="87"/>
      <c r="Q317" s="87">
        <f t="shared" si="67"/>
        <v>0</v>
      </c>
      <c r="R317" s="87"/>
      <c r="S317" s="87">
        <f t="shared" si="66"/>
        <v>0</v>
      </c>
    </row>
    <row r="318" spans="1:19" ht="12.75" hidden="1">
      <c r="A318" s="62" t="str">
        <f ca="1">IF(ISERROR(MATCH(F318,Код_КВР,0)),"",INDIRECT(ADDRESS(MATCH(F318,Код_КВР,0)+1,2,,,"КВР")))</f>
        <v>Субсидии бюджетным учреждениям</v>
      </c>
      <c r="B318" s="115">
        <v>801</v>
      </c>
      <c r="C318" s="8" t="s">
        <v>203</v>
      </c>
      <c r="D318" s="8" t="s">
        <v>203</v>
      </c>
      <c r="E318" s="115" t="s">
        <v>586</v>
      </c>
      <c r="F318" s="115">
        <v>610</v>
      </c>
      <c r="G318" s="70">
        <f>G319</f>
        <v>0</v>
      </c>
      <c r="H318" s="65"/>
      <c r="I318" s="70">
        <f t="shared" si="74"/>
        <v>0</v>
      </c>
      <c r="J318" s="65"/>
      <c r="K318" s="87">
        <f t="shared" si="75"/>
        <v>0</v>
      </c>
      <c r="L318" s="87"/>
      <c r="M318" s="87">
        <f t="shared" si="69"/>
        <v>0</v>
      </c>
      <c r="N318" s="87"/>
      <c r="O318" s="87">
        <f t="shared" si="70"/>
        <v>0</v>
      </c>
      <c r="P318" s="87"/>
      <c r="Q318" s="87">
        <f t="shared" si="67"/>
        <v>0</v>
      </c>
      <c r="R318" s="87"/>
      <c r="S318" s="87">
        <f t="shared" si="66"/>
        <v>0</v>
      </c>
    </row>
    <row r="319" spans="1:19" ht="12.75" hidden="1">
      <c r="A319" s="62" t="str">
        <f ca="1">IF(ISERROR(MATCH(F319,Код_КВР,0)),"",INDIRECT(ADDRESS(MATCH(F319,Код_КВР,0)+1,2,,,"КВР")))</f>
        <v>Субсидии бюджетным учреждениям на иные цели</v>
      </c>
      <c r="B319" s="115">
        <v>801</v>
      </c>
      <c r="C319" s="8" t="s">
        <v>203</v>
      </c>
      <c r="D319" s="8" t="s">
        <v>203</v>
      </c>
      <c r="E319" s="115" t="s">
        <v>586</v>
      </c>
      <c r="F319" s="115">
        <v>612</v>
      </c>
      <c r="G319" s="70"/>
      <c r="H319" s="65"/>
      <c r="I319" s="70">
        <f t="shared" si="74"/>
        <v>0</v>
      </c>
      <c r="J319" s="65"/>
      <c r="K319" s="87">
        <f t="shared" si="75"/>
        <v>0</v>
      </c>
      <c r="L319" s="87"/>
      <c r="M319" s="87">
        <f t="shared" si="69"/>
        <v>0</v>
      </c>
      <c r="N319" s="87"/>
      <c r="O319" s="87">
        <f t="shared" si="70"/>
        <v>0</v>
      </c>
      <c r="P319" s="87"/>
      <c r="Q319" s="87">
        <f t="shared" si="67"/>
        <v>0</v>
      </c>
      <c r="R319" s="87"/>
      <c r="S319" s="87">
        <f t="shared" si="66"/>
        <v>0</v>
      </c>
    </row>
    <row r="320" spans="1:19" ht="33">
      <c r="A320" s="62" t="str">
        <f ca="1">IF(ISERROR(MATCH(E320,Код_КЦСР,0)),"",INDIRECT(ADDRESS(MATCH(E320,Код_КЦСР,0)+1,2,,,"КЦСР")))</f>
        <v>Непрограммные направления деятельности органов местного самоуправления</v>
      </c>
      <c r="B320" s="115">
        <v>801</v>
      </c>
      <c r="C320" s="8" t="s">
        <v>203</v>
      </c>
      <c r="D320" s="8" t="s">
        <v>203</v>
      </c>
      <c r="E320" s="115" t="s">
        <v>307</v>
      </c>
      <c r="F320" s="115"/>
      <c r="G320" s="70"/>
      <c r="H320" s="65"/>
      <c r="I320" s="70"/>
      <c r="J320" s="65">
        <f>J321</f>
        <v>0.7</v>
      </c>
      <c r="K320" s="87">
        <f t="shared" si="75"/>
        <v>0.7</v>
      </c>
      <c r="L320" s="87">
        <f>L321</f>
        <v>0</v>
      </c>
      <c r="M320" s="87">
        <f t="shared" si="69"/>
        <v>0.7</v>
      </c>
      <c r="N320" s="87">
        <f>N321</f>
        <v>0</v>
      </c>
      <c r="O320" s="87">
        <f t="shared" si="70"/>
        <v>0.7</v>
      </c>
      <c r="P320" s="87">
        <f>P321</f>
        <v>0</v>
      </c>
      <c r="Q320" s="87">
        <f t="shared" si="67"/>
        <v>0.7</v>
      </c>
      <c r="R320" s="87">
        <f>R321</f>
        <v>0</v>
      </c>
      <c r="S320" s="87">
        <f t="shared" si="66"/>
        <v>0.7</v>
      </c>
    </row>
    <row r="321" spans="1:19" ht="12.75">
      <c r="A321" s="62" t="str">
        <f ca="1">IF(ISERROR(MATCH(E321,Код_КЦСР,0)),"",INDIRECT(ADDRESS(MATCH(E321,Код_КЦСР,0)+1,2,,,"КЦСР")))</f>
        <v>Расходы, не включенные в муниципальные программы города Череповца</v>
      </c>
      <c r="B321" s="115">
        <v>801</v>
      </c>
      <c r="C321" s="8" t="s">
        <v>203</v>
      </c>
      <c r="D321" s="8" t="s">
        <v>203</v>
      </c>
      <c r="E321" s="115" t="s">
        <v>309</v>
      </c>
      <c r="F321" s="115"/>
      <c r="G321" s="70"/>
      <c r="H321" s="65"/>
      <c r="I321" s="70"/>
      <c r="J321" s="65">
        <f>J322</f>
        <v>0.7</v>
      </c>
      <c r="K321" s="87">
        <f t="shared" si="75"/>
        <v>0.7</v>
      </c>
      <c r="L321" s="87">
        <f>L322</f>
        <v>0</v>
      </c>
      <c r="M321" s="87">
        <f t="shared" si="69"/>
        <v>0.7</v>
      </c>
      <c r="N321" s="87">
        <f>N322</f>
        <v>0</v>
      </c>
      <c r="O321" s="87">
        <f t="shared" si="70"/>
        <v>0.7</v>
      </c>
      <c r="P321" s="87">
        <f>P322</f>
        <v>0</v>
      </c>
      <c r="Q321" s="87">
        <f t="shared" si="67"/>
        <v>0.7</v>
      </c>
      <c r="R321" s="87">
        <f>R322</f>
        <v>0</v>
      </c>
      <c r="S321" s="87">
        <f t="shared" si="66"/>
        <v>0.7</v>
      </c>
    </row>
    <row r="322" spans="1:19" ht="12.75">
      <c r="A322" s="62" t="str">
        <f ca="1">IF(ISERROR(MATCH(E322,Код_КЦСР,0)),"",INDIRECT(ADDRESS(MATCH(E322,Код_КЦСР,0)+1,2,,,"КЦСР")))</f>
        <v>Кредиторская задолженность, сложившаяся по итогам 2013 года</v>
      </c>
      <c r="B322" s="115">
        <v>801</v>
      </c>
      <c r="C322" s="8" t="s">
        <v>203</v>
      </c>
      <c r="D322" s="8" t="s">
        <v>203</v>
      </c>
      <c r="E322" s="115" t="s">
        <v>379</v>
      </c>
      <c r="F322" s="115"/>
      <c r="G322" s="70"/>
      <c r="H322" s="65"/>
      <c r="I322" s="70"/>
      <c r="J322" s="65">
        <f>J323</f>
        <v>0.7</v>
      </c>
      <c r="K322" s="87">
        <f t="shared" si="75"/>
        <v>0.7</v>
      </c>
      <c r="L322" s="87">
        <f>L323</f>
        <v>0</v>
      </c>
      <c r="M322" s="87">
        <f t="shared" si="69"/>
        <v>0.7</v>
      </c>
      <c r="N322" s="87">
        <f>N323</f>
        <v>0</v>
      </c>
      <c r="O322" s="87">
        <f t="shared" si="70"/>
        <v>0.7</v>
      </c>
      <c r="P322" s="87">
        <f>P323</f>
        <v>0</v>
      </c>
      <c r="Q322" s="87">
        <f t="shared" si="67"/>
        <v>0.7</v>
      </c>
      <c r="R322" s="87">
        <f>R323</f>
        <v>0</v>
      </c>
      <c r="S322" s="87">
        <f t="shared" si="66"/>
        <v>0.7</v>
      </c>
    </row>
    <row r="323" spans="1:19" ht="33">
      <c r="A323" s="62" t="str">
        <f ca="1">IF(ISERROR(MATCH(F323,Код_КВР,0)),"",INDIRECT(ADDRESS(MATCH(F323,Код_КВР,0)+1,2,,,"КВР")))</f>
        <v>Предоставление субсидий бюджетным, автономным учреждениям и иным некоммерческим организациям</v>
      </c>
      <c r="B323" s="115">
        <v>801</v>
      </c>
      <c r="C323" s="8" t="s">
        <v>203</v>
      </c>
      <c r="D323" s="8" t="s">
        <v>203</v>
      </c>
      <c r="E323" s="115" t="s">
        <v>379</v>
      </c>
      <c r="F323" s="115">
        <v>600</v>
      </c>
      <c r="G323" s="70"/>
      <c r="H323" s="65"/>
      <c r="I323" s="70"/>
      <c r="J323" s="65">
        <f>J324</f>
        <v>0.7</v>
      </c>
      <c r="K323" s="87">
        <f t="shared" si="75"/>
        <v>0.7</v>
      </c>
      <c r="L323" s="87">
        <f>L324</f>
        <v>0</v>
      </c>
      <c r="M323" s="87">
        <f t="shared" si="69"/>
        <v>0.7</v>
      </c>
      <c r="N323" s="87">
        <f>N324</f>
        <v>0</v>
      </c>
      <c r="O323" s="87">
        <f t="shared" si="70"/>
        <v>0.7</v>
      </c>
      <c r="P323" s="87">
        <f>P324</f>
        <v>0</v>
      </c>
      <c r="Q323" s="87">
        <f t="shared" si="67"/>
        <v>0.7</v>
      </c>
      <c r="R323" s="87">
        <f>R324</f>
        <v>0</v>
      </c>
      <c r="S323" s="87">
        <f t="shared" si="66"/>
        <v>0.7</v>
      </c>
    </row>
    <row r="324" spans="1:19" ht="12.75">
      <c r="A324" s="62" t="str">
        <f ca="1">IF(ISERROR(MATCH(F324,Код_КВР,0)),"",INDIRECT(ADDRESS(MATCH(F324,Код_КВР,0)+1,2,,,"КВР")))</f>
        <v>Субсидии бюджетным учреждениям</v>
      </c>
      <c r="B324" s="115">
        <v>801</v>
      </c>
      <c r="C324" s="8" t="s">
        <v>203</v>
      </c>
      <c r="D324" s="8" t="s">
        <v>203</v>
      </c>
      <c r="E324" s="115" t="s">
        <v>379</v>
      </c>
      <c r="F324" s="115">
        <v>610</v>
      </c>
      <c r="G324" s="70"/>
      <c r="H324" s="65"/>
      <c r="I324" s="70"/>
      <c r="J324" s="65">
        <f>J325</f>
        <v>0.7</v>
      </c>
      <c r="K324" s="87">
        <f t="shared" si="75"/>
        <v>0.7</v>
      </c>
      <c r="L324" s="87">
        <f>L325</f>
        <v>0</v>
      </c>
      <c r="M324" s="87">
        <f t="shared" si="69"/>
        <v>0.7</v>
      </c>
      <c r="N324" s="87">
        <f>N325</f>
        <v>0</v>
      </c>
      <c r="O324" s="87">
        <f t="shared" si="70"/>
        <v>0.7</v>
      </c>
      <c r="P324" s="87">
        <f>P325</f>
        <v>0</v>
      </c>
      <c r="Q324" s="87">
        <f t="shared" si="67"/>
        <v>0.7</v>
      </c>
      <c r="R324" s="87">
        <f>R325</f>
        <v>0</v>
      </c>
      <c r="S324" s="87">
        <f t="shared" si="66"/>
        <v>0.7</v>
      </c>
    </row>
    <row r="325" spans="1:19" ht="12.75">
      <c r="A325" s="62" t="str">
        <f ca="1">IF(ISERROR(MATCH(F325,Код_КВР,0)),"",INDIRECT(ADDRESS(MATCH(F325,Код_КВР,0)+1,2,,,"КВР")))</f>
        <v>Субсидии бюджетным учреждениям на иные цели</v>
      </c>
      <c r="B325" s="115">
        <v>801</v>
      </c>
      <c r="C325" s="8" t="s">
        <v>203</v>
      </c>
      <c r="D325" s="8" t="s">
        <v>203</v>
      </c>
      <c r="E325" s="115" t="s">
        <v>379</v>
      </c>
      <c r="F325" s="115">
        <v>612</v>
      </c>
      <c r="G325" s="70"/>
      <c r="H325" s="65"/>
      <c r="I325" s="70"/>
      <c r="J325" s="65">
        <v>0.7</v>
      </c>
      <c r="K325" s="87">
        <f t="shared" si="75"/>
        <v>0.7</v>
      </c>
      <c r="L325" s="87"/>
      <c r="M325" s="87">
        <f t="shared" si="69"/>
        <v>0.7</v>
      </c>
      <c r="N325" s="87"/>
      <c r="O325" s="87">
        <f t="shared" si="70"/>
        <v>0.7</v>
      </c>
      <c r="P325" s="87"/>
      <c r="Q325" s="87">
        <f t="shared" si="67"/>
        <v>0.7</v>
      </c>
      <c r="R325" s="87"/>
      <c r="S325" s="87">
        <f t="shared" si="66"/>
        <v>0.7</v>
      </c>
    </row>
    <row r="326" spans="1:19" ht="12.75">
      <c r="A326" s="62" t="str">
        <f ca="1">IF(ISERROR(MATCH(C326,Код_Раздел,0)),"",INDIRECT(ADDRESS(MATCH(C326,Код_Раздел,0)+1,2,,,"Раздел")))</f>
        <v>Социальная политика</v>
      </c>
      <c r="B326" s="115">
        <v>801</v>
      </c>
      <c r="C326" s="8" t="s">
        <v>196</v>
      </c>
      <c r="D326" s="8"/>
      <c r="E326" s="115"/>
      <c r="F326" s="115"/>
      <c r="G326" s="70">
        <f>G327+G333</f>
        <v>34846.8</v>
      </c>
      <c r="H326" s="70">
        <f>H327+H333</f>
        <v>0</v>
      </c>
      <c r="I326" s="70">
        <f t="shared" si="74"/>
        <v>34846.8</v>
      </c>
      <c r="J326" s="70">
        <f>J327+J333</f>
        <v>0</v>
      </c>
      <c r="K326" s="87">
        <f t="shared" si="75"/>
        <v>34846.8</v>
      </c>
      <c r="L326" s="13">
        <f>L327+L333</f>
        <v>0</v>
      </c>
      <c r="M326" s="87">
        <f t="shared" si="69"/>
        <v>34846.8</v>
      </c>
      <c r="N326" s="13">
        <f>N327+N333</f>
        <v>0</v>
      </c>
      <c r="O326" s="87">
        <f t="shared" si="70"/>
        <v>34846.8</v>
      </c>
      <c r="P326" s="13">
        <f>P327+P333</f>
        <v>0</v>
      </c>
      <c r="Q326" s="87">
        <f t="shared" si="67"/>
        <v>34846.8</v>
      </c>
      <c r="R326" s="13">
        <f>R327+R333</f>
        <v>-2993.7000000000003</v>
      </c>
      <c r="S326" s="87">
        <f t="shared" si="66"/>
        <v>31853.100000000002</v>
      </c>
    </row>
    <row r="327" spans="1:19" ht="12.75">
      <c r="A327" s="12" t="s">
        <v>193</v>
      </c>
      <c r="B327" s="115">
        <v>801</v>
      </c>
      <c r="C327" s="8" t="s">
        <v>196</v>
      </c>
      <c r="D327" s="8" t="s">
        <v>221</v>
      </c>
      <c r="E327" s="115"/>
      <c r="F327" s="115"/>
      <c r="G327" s="70">
        <f aca="true" t="shared" si="77" ref="G327:R331">G328</f>
        <v>13440</v>
      </c>
      <c r="H327" s="70">
        <f t="shared" si="77"/>
        <v>0</v>
      </c>
      <c r="I327" s="70">
        <f t="shared" si="74"/>
        <v>13440</v>
      </c>
      <c r="J327" s="70">
        <f t="shared" si="77"/>
        <v>0</v>
      </c>
      <c r="K327" s="87">
        <f t="shared" si="75"/>
        <v>13440</v>
      </c>
      <c r="L327" s="13">
        <f t="shared" si="77"/>
        <v>0</v>
      </c>
      <c r="M327" s="87">
        <f t="shared" si="69"/>
        <v>13440</v>
      </c>
      <c r="N327" s="13">
        <f t="shared" si="77"/>
        <v>0</v>
      </c>
      <c r="O327" s="87">
        <f t="shared" si="70"/>
        <v>13440</v>
      </c>
      <c r="P327" s="13">
        <f t="shared" si="77"/>
        <v>0</v>
      </c>
      <c r="Q327" s="87">
        <f t="shared" si="67"/>
        <v>13440</v>
      </c>
      <c r="R327" s="13">
        <f t="shared" si="77"/>
        <v>0</v>
      </c>
      <c r="S327" s="87">
        <f t="shared" si="66"/>
        <v>13440</v>
      </c>
    </row>
    <row r="328" spans="1:19" ht="33">
      <c r="A328" s="62" t="str">
        <f ca="1">IF(ISERROR(MATCH(E328,Код_КЦСР,0)),"",INDIRECT(ADDRESS(MATCH(E328,Код_КЦСР,0)+1,2,,,"КЦСР")))</f>
        <v>Муниципальная программа «Совершенствование муниципального управления в городе Череповце» на 2014-2018 годы</v>
      </c>
      <c r="B328" s="115">
        <v>801</v>
      </c>
      <c r="C328" s="8" t="s">
        <v>196</v>
      </c>
      <c r="D328" s="8" t="s">
        <v>221</v>
      </c>
      <c r="E328" s="115" t="s">
        <v>126</v>
      </c>
      <c r="F328" s="115"/>
      <c r="G328" s="70">
        <f t="shared" si="77"/>
        <v>13440</v>
      </c>
      <c r="H328" s="70">
        <f t="shared" si="77"/>
        <v>0</v>
      </c>
      <c r="I328" s="70">
        <f t="shared" si="74"/>
        <v>13440</v>
      </c>
      <c r="J328" s="70">
        <f t="shared" si="77"/>
        <v>0</v>
      </c>
      <c r="K328" s="87">
        <f t="shared" si="75"/>
        <v>13440</v>
      </c>
      <c r="L328" s="13">
        <f t="shared" si="77"/>
        <v>0</v>
      </c>
      <c r="M328" s="87">
        <f t="shared" si="69"/>
        <v>13440</v>
      </c>
      <c r="N328" s="13">
        <f t="shared" si="77"/>
        <v>0</v>
      </c>
      <c r="O328" s="87">
        <f t="shared" si="70"/>
        <v>13440</v>
      </c>
      <c r="P328" s="13">
        <f t="shared" si="77"/>
        <v>0</v>
      </c>
      <c r="Q328" s="87">
        <f t="shared" si="67"/>
        <v>13440</v>
      </c>
      <c r="R328" s="13">
        <f t="shared" si="77"/>
        <v>0</v>
      </c>
      <c r="S328" s="87">
        <f t="shared" si="66"/>
        <v>13440</v>
      </c>
    </row>
    <row r="329" spans="1:19" ht="12.75">
      <c r="A329" s="62" t="str">
        <f ca="1">IF(ISERROR(MATCH(E329,Код_КЦСР,0)),"",INDIRECT(ADDRESS(MATCH(E329,Код_КЦСР,0)+1,2,,,"КЦСР")))</f>
        <v>Развитие муниципальной службы в мэрии города Череповца</v>
      </c>
      <c r="B329" s="115">
        <v>801</v>
      </c>
      <c r="C329" s="8" t="s">
        <v>196</v>
      </c>
      <c r="D329" s="8" t="s">
        <v>221</v>
      </c>
      <c r="E329" s="115" t="s">
        <v>133</v>
      </c>
      <c r="F329" s="115"/>
      <c r="G329" s="70">
        <f t="shared" si="77"/>
        <v>13440</v>
      </c>
      <c r="H329" s="70">
        <f t="shared" si="77"/>
        <v>0</v>
      </c>
      <c r="I329" s="70">
        <f t="shared" si="74"/>
        <v>13440</v>
      </c>
      <c r="J329" s="70">
        <f t="shared" si="77"/>
        <v>0</v>
      </c>
      <c r="K329" s="87">
        <f t="shared" si="75"/>
        <v>13440</v>
      </c>
      <c r="L329" s="13">
        <f t="shared" si="77"/>
        <v>0</v>
      </c>
      <c r="M329" s="87">
        <f t="shared" si="69"/>
        <v>13440</v>
      </c>
      <c r="N329" s="13">
        <f t="shared" si="77"/>
        <v>0</v>
      </c>
      <c r="O329" s="87">
        <f t="shared" si="70"/>
        <v>13440</v>
      </c>
      <c r="P329" s="13">
        <f t="shared" si="77"/>
        <v>0</v>
      </c>
      <c r="Q329" s="87">
        <f t="shared" si="67"/>
        <v>13440</v>
      </c>
      <c r="R329" s="13">
        <f t="shared" si="77"/>
        <v>0</v>
      </c>
      <c r="S329" s="87">
        <f t="shared" si="66"/>
        <v>13440</v>
      </c>
    </row>
    <row r="330" spans="1:19" ht="12.75">
      <c r="A330" s="62" t="str">
        <f ca="1">IF(ISERROR(MATCH(E330,Код_КЦСР,0)),"",INDIRECT(ADDRESS(MATCH(E330,Код_КЦСР,0)+1,2,,,"КЦСР")))</f>
        <v>Повышение престижа муниципальной службы в городе</v>
      </c>
      <c r="B330" s="115">
        <v>801</v>
      </c>
      <c r="C330" s="8" t="s">
        <v>196</v>
      </c>
      <c r="D330" s="8" t="s">
        <v>221</v>
      </c>
      <c r="E330" s="115" t="s">
        <v>136</v>
      </c>
      <c r="F330" s="115"/>
      <c r="G330" s="70">
        <f t="shared" si="77"/>
        <v>13440</v>
      </c>
      <c r="H330" s="70">
        <f t="shared" si="77"/>
        <v>0</v>
      </c>
      <c r="I330" s="70">
        <f t="shared" si="74"/>
        <v>13440</v>
      </c>
      <c r="J330" s="70">
        <f t="shared" si="77"/>
        <v>0</v>
      </c>
      <c r="K330" s="87">
        <f t="shared" si="75"/>
        <v>13440</v>
      </c>
      <c r="L330" s="13">
        <f t="shared" si="77"/>
        <v>0</v>
      </c>
      <c r="M330" s="87">
        <f t="shared" si="69"/>
        <v>13440</v>
      </c>
      <c r="N330" s="13">
        <f t="shared" si="77"/>
        <v>0</v>
      </c>
      <c r="O330" s="87">
        <f t="shared" si="70"/>
        <v>13440</v>
      </c>
      <c r="P330" s="13">
        <f t="shared" si="77"/>
        <v>0</v>
      </c>
      <c r="Q330" s="87">
        <f t="shared" si="67"/>
        <v>13440</v>
      </c>
      <c r="R330" s="13">
        <f t="shared" si="77"/>
        <v>0</v>
      </c>
      <c r="S330" s="87">
        <f t="shared" si="66"/>
        <v>13440</v>
      </c>
    </row>
    <row r="331" spans="1:19" ht="12.75">
      <c r="A331" s="62" t="str">
        <f ca="1">IF(ISERROR(MATCH(F331,Код_КВР,0)),"",INDIRECT(ADDRESS(MATCH(F331,Код_КВР,0)+1,2,,,"КВР")))</f>
        <v>Социальное обеспечение и иные выплаты населению</v>
      </c>
      <c r="B331" s="115">
        <v>801</v>
      </c>
      <c r="C331" s="8" t="s">
        <v>196</v>
      </c>
      <c r="D331" s="8" t="s">
        <v>221</v>
      </c>
      <c r="E331" s="115" t="s">
        <v>136</v>
      </c>
      <c r="F331" s="115">
        <v>300</v>
      </c>
      <c r="G331" s="70">
        <f t="shared" si="77"/>
        <v>13440</v>
      </c>
      <c r="H331" s="70">
        <f t="shared" si="77"/>
        <v>0</v>
      </c>
      <c r="I331" s="70">
        <f t="shared" si="74"/>
        <v>13440</v>
      </c>
      <c r="J331" s="70">
        <f t="shared" si="77"/>
        <v>0</v>
      </c>
      <c r="K331" s="87">
        <f t="shared" si="75"/>
        <v>13440</v>
      </c>
      <c r="L331" s="13">
        <f t="shared" si="77"/>
        <v>0</v>
      </c>
      <c r="M331" s="87">
        <f t="shared" si="69"/>
        <v>13440</v>
      </c>
      <c r="N331" s="13">
        <f t="shared" si="77"/>
        <v>0</v>
      </c>
      <c r="O331" s="87">
        <f t="shared" si="70"/>
        <v>13440</v>
      </c>
      <c r="P331" s="13">
        <f t="shared" si="77"/>
        <v>0</v>
      </c>
      <c r="Q331" s="87">
        <f t="shared" si="67"/>
        <v>13440</v>
      </c>
      <c r="R331" s="13">
        <f t="shared" si="77"/>
        <v>0</v>
      </c>
      <c r="S331" s="87">
        <f t="shared" si="66"/>
        <v>13440</v>
      </c>
    </row>
    <row r="332" spans="1:19" ht="12.75">
      <c r="A332" s="62" t="str">
        <f ca="1">IF(ISERROR(MATCH(F332,Код_КВР,0)),"",INDIRECT(ADDRESS(MATCH(F332,Код_КВР,0)+1,2,,,"КВР")))</f>
        <v>Иные выплаты населению</v>
      </c>
      <c r="B332" s="115">
        <v>801</v>
      </c>
      <c r="C332" s="8" t="s">
        <v>196</v>
      </c>
      <c r="D332" s="8" t="s">
        <v>221</v>
      </c>
      <c r="E332" s="115" t="s">
        <v>136</v>
      </c>
      <c r="F332" s="115">
        <v>360</v>
      </c>
      <c r="G332" s="70">
        <v>13440</v>
      </c>
      <c r="H332" s="65"/>
      <c r="I332" s="70">
        <f t="shared" si="74"/>
        <v>13440</v>
      </c>
      <c r="J332" s="65"/>
      <c r="K332" s="87">
        <f t="shared" si="75"/>
        <v>13440</v>
      </c>
      <c r="L332" s="87"/>
      <c r="M332" s="87">
        <f t="shared" si="69"/>
        <v>13440</v>
      </c>
      <c r="N332" s="87"/>
      <c r="O332" s="87">
        <f t="shared" si="70"/>
        <v>13440</v>
      </c>
      <c r="P332" s="87"/>
      <c r="Q332" s="87">
        <f t="shared" si="67"/>
        <v>13440</v>
      </c>
      <c r="R332" s="87"/>
      <c r="S332" s="87">
        <f t="shared" si="66"/>
        <v>13440</v>
      </c>
    </row>
    <row r="333" spans="1:19" ht="12.75">
      <c r="A333" s="12" t="s">
        <v>187</v>
      </c>
      <c r="B333" s="115">
        <v>801</v>
      </c>
      <c r="C333" s="8" t="s">
        <v>196</v>
      </c>
      <c r="D333" s="8" t="s">
        <v>223</v>
      </c>
      <c r="E333" s="115"/>
      <c r="F333" s="115"/>
      <c r="G333" s="70">
        <f>G334+G357</f>
        <v>21406.8</v>
      </c>
      <c r="H333" s="70">
        <f>H334+H357</f>
        <v>0</v>
      </c>
      <c r="I333" s="70">
        <f t="shared" si="74"/>
        <v>21406.8</v>
      </c>
      <c r="J333" s="70">
        <f>J334+J357</f>
        <v>0</v>
      </c>
      <c r="K333" s="87">
        <f t="shared" si="75"/>
        <v>21406.8</v>
      </c>
      <c r="L333" s="13">
        <f>L334+L357</f>
        <v>0</v>
      </c>
      <c r="M333" s="87">
        <f t="shared" si="69"/>
        <v>21406.8</v>
      </c>
      <c r="N333" s="13">
        <f>N334+N357</f>
        <v>0</v>
      </c>
      <c r="O333" s="87">
        <f t="shared" si="70"/>
        <v>21406.8</v>
      </c>
      <c r="P333" s="13">
        <f>P334+P357</f>
        <v>0</v>
      </c>
      <c r="Q333" s="87">
        <f t="shared" si="67"/>
        <v>21406.8</v>
      </c>
      <c r="R333" s="13">
        <f>R334+R357</f>
        <v>-2993.7000000000003</v>
      </c>
      <c r="S333" s="87">
        <f t="shared" si="66"/>
        <v>18413.1</v>
      </c>
    </row>
    <row r="334" spans="1:19" ht="33">
      <c r="A334" s="62" t="str">
        <f ca="1">IF(ISERROR(MATCH(E334,Код_КЦСР,0)),"",INDIRECT(ADDRESS(MATCH(E334,Код_КЦСР,0)+1,2,,,"КЦСР")))</f>
        <v>Муниципальная программа «Обеспечение жильем отдельных категорий граждан» на 2014-2020 годы</v>
      </c>
      <c r="B334" s="115">
        <v>801</v>
      </c>
      <c r="C334" s="8" t="s">
        <v>196</v>
      </c>
      <c r="D334" s="8" t="s">
        <v>223</v>
      </c>
      <c r="E334" s="115" t="s">
        <v>24</v>
      </c>
      <c r="F334" s="115"/>
      <c r="G334" s="70">
        <f>G335+G339+G352</f>
        <v>21306.8</v>
      </c>
      <c r="H334" s="70">
        <f>H335+H339+H352</f>
        <v>0</v>
      </c>
      <c r="I334" s="70">
        <f t="shared" si="74"/>
        <v>21306.8</v>
      </c>
      <c r="J334" s="70">
        <f>J335+J339+J352</f>
        <v>0</v>
      </c>
      <c r="K334" s="87">
        <f t="shared" si="75"/>
        <v>21306.8</v>
      </c>
      <c r="L334" s="13">
        <f>L335+L339+L352</f>
        <v>0</v>
      </c>
      <c r="M334" s="87">
        <f t="shared" si="69"/>
        <v>21306.8</v>
      </c>
      <c r="N334" s="13">
        <f>N335+N339+N352</f>
        <v>0</v>
      </c>
      <c r="O334" s="87">
        <f t="shared" si="70"/>
        <v>21306.8</v>
      </c>
      <c r="P334" s="13">
        <f>P335+P339+P352</f>
        <v>0</v>
      </c>
      <c r="Q334" s="87">
        <f t="shared" si="67"/>
        <v>21306.8</v>
      </c>
      <c r="R334" s="13">
        <f>R335+R339+R352</f>
        <v>-2993.7000000000003</v>
      </c>
      <c r="S334" s="87">
        <f t="shared" si="66"/>
        <v>18313.1</v>
      </c>
    </row>
    <row r="335" spans="1:19" ht="66">
      <c r="A335" s="62" t="str">
        <f ca="1">IF(ISERROR(MATCH(E335,Код_КЦСР,0)),"",INDIRECT(ADDRESS(MATCH(E335,Код_КЦСР,0)+1,2,,,"КЦСР")))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35" s="115">
        <v>801</v>
      </c>
      <c r="C335" s="8" t="s">
        <v>196</v>
      </c>
      <c r="D335" s="8" t="s">
        <v>223</v>
      </c>
      <c r="E335" s="115" t="s">
        <v>449</v>
      </c>
      <c r="F335" s="115"/>
      <c r="G335" s="70">
        <f aca="true" t="shared" si="78" ref="G335:R337">G336</f>
        <v>9250.7</v>
      </c>
      <c r="H335" s="70">
        <f t="shared" si="78"/>
        <v>0</v>
      </c>
      <c r="I335" s="70">
        <f t="shared" si="74"/>
        <v>9250.7</v>
      </c>
      <c r="J335" s="70">
        <f t="shared" si="78"/>
        <v>0</v>
      </c>
      <c r="K335" s="87">
        <f t="shared" si="75"/>
        <v>9250.7</v>
      </c>
      <c r="L335" s="13">
        <f t="shared" si="78"/>
        <v>0</v>
      </c>
      <c r="M335" s="87">
        <f t="shared" si="69"/>
        <v>9250.7</v>
      </c>
      <c r="N335" s="13">
        <f t="shared" si="78"/>
        <v>0</v>
      </c>
      <c r="O335" s="87">
        <f t="shared" si="70"/>
        <v>9250.7</v>
      </c>
      <c r="P335" s="13">
        <f t="shared" si="78"/>
        <v>0</v>
      </c>
      <c r="Q335" s="87">
        <f t="shared" si="67"/>
        <v>9250.7</v>
      </c>
      <c r="R335" s="13">
        <f t="shared" si="78"/>
        <v>3136.9</v>
      </c>
      <c r="S335" s="87">
        <f t="shared" si="66"/>
        <v>12387.6</v>
      </c>
    </row>
    <row r="336" spans="1:19" ht="12.75">
      <c r="A336" s="62" t="str">
        <f ca="1">IF(ISERROR(MATCH(F336,Код_КВР,0)),"",INDIRECT(ADDRESS(MATCH(F336,Код_КВР,0)+1,2,,,"КВР")))</f>
        <v>Социальное обеспечение и иные выплаты населению</v>
      </c>
      <c r="B336" s="115">
        <v>801</v>
      </c>
      <c r="C336" s="8" t="s">
        <v>196</v>
      </c>
      <c r="D336" s="8" t="s">
        <v>223</v>
      </c>
      <c r="E336" s="115" t="s">
        <v>449</v>
      </c>
      <c r="F336" s="115">
        <v>300</v>
      </c>
      <c r="G336" s="70">
        <f t="shared" si="78"/>
        <v>9250.7</v>
      </c>
      <c r="H336" s="70">
        <f t="shared" si="78"/>
        <v>0</v>
      </c>
      <c r="I336" s="70">
        <f t="shared" si="74"/>
        <v>9250.7</v>
      </c>
      <c r="J336" s="70">
        <f t="shared" si="78"/>
        <v>0</v>
      </c>
      <c r="K336" s="87">
        <f t="shared" si="75"/>
        <v>9250.7</v>
      </c>
      <c r="L336" s="13">
        <f t="shared" si="78"/>
        <v>0</v>
      </c>
      <c r="M336" s="87">
        <f t="shared" si="69"/>
        <v>9250.7</v>
      </c>
      <c r="N336" s="13">
        <f t="shared" si="78"/>
        <v>0</v>
      </c>
      <c r="O336" s="87">
        <f t="shared" si="70"/>
        <v>9250.7</v>
      </c>
      <c r="P336" s="13">
        <f t="shared" si="78"/>
        <v>0</v>
      </c>
      <c r="Q336" s="87">
        <f t="shared" si="67"/>
        <v>9250.7</v>
      </c>
      <c r="R336" s="13">
        <f t="shared" si="78"/>
        <v>3136.9</v>
      </c>
      <c r="S336" s="87">
        <f t="shared" si="66"/>
        <v>12387.6</v>
      </c>
    </row>
    <row r="337" spans="1:19" ht="33">
      <c r="A337" s="62" t="str">
        <f ca="1">IF(ISERROR(MATCH(F337,Код_КВР,0)),"",INDIRECT(ADDRESS(MATCH(F337,Код_КВР,0)+1,2,,,"КВР")))</f>
        <v>Социальные выплаты гражданам, кроме публичных нормативных социальных выплат</v>
      </c>
      <c r="B337" s="115">
        <v>801</v>
      </c>
      <c r="C337" s="8" t="s">
        <v>196</v>
      </c>
      <c r="D337" s="8" t="s">
        <v>223</v>
      </c>
      <c r="E337" s="115" t="s">
        <v>449</v>
      </c>
      <c r="F337" s="115">
        <v>320</v>
      </c>
      <c r="G337" s="70">
        <f t="shared" si="78"/>
        <v>9250.7</v>
      </c>
      <c r="H337" s="70">
        <f t="shared" si="78"/>
        <v>0</v>
      </c>
      <c r="I337" s="70">
        <f t="shared" si="74"/>
        <v>9250.7</v>
      </c>
      <c r="J337" s="70">
        <f t="shared" si="78"/>
        <v>0</v>
      </c>
      <c r="K337" s="87">
        <f t="shared" si="75"/>
        <v>9250.7</v>
      </c>
      <c r="L337" s="13">
        <f t="shared" si="78"/>
        <v>0</v>
      </c>
      <c r="M337" s="87">
        <f t="shared" si="69"/>
        <v>9250.7</v>
      </c>
      <c r="N337" s="13">
        <f t="shared" si="78"/>
        <v>0</v>
      </c>
      <c r="O337" s="87">
        <f t="shared" si="70"/>
        <v>9250.7</v>
      </c>
      <c r="P337" s="13">
        <f t="shared" si="78"/>
        <v>0</v>
      </c>
      <c r="Q337" s="87">
        <f t="shared" si="67"/>
        <v>9250.7</v>
      </c>
      <c r="R337" s="13">
        <f t="shared" si="78"/>
        <v>3136.9</v>
      </c>
      <c r="S337" s="87">
        <f t="shared" si="66"/>
        <v>12387.6</v>
      </c>
    </row>
    <row r="338" spans="1:19" ht="12.75">
      <c r="A338" s="62" t="str">
        <f ca="1">IF(ISERROR(MATCH(F338,Код_КВР,0)),"",INDIRECT(ADDRESS(MATCH(F338,Код_КВР,0)+1,2,,,"КВР")))</f>
        <v>Субсидии гражданам на приобретение жилья</v>
      </c>
      <c r="B338" s="115">
        <v>801</v>
      </c>
      <c r="C338" s="8" t="s">
        <v>196</v>
      </c>
      <c r="D338" s="8" t="s">
        <v>223</v>
      </c>
      <c r="E338" s="115" t="s">
        <v>449</v>
      </c>
      <c r="F338" s="115">
        <v>322</v>
      </c>
      <c r="G338" s="70">
        <v>9250.7</v>
      </c>
      <c r="H338" s="65"/>
      <c r="I338" s="70">
        <f t="shared" si="74"/>
        <v>9250.7</v>
      </c>
      <c r="J338" s="65"/>
      <c r="K338" s="87">
        <f t="shared" si="75"/>
        <v>9250.7</v>
      </c>
      <c r="L338" s="87"/>
      <c r="M338" s="87">
        <f t="shared" si="69"/>
        <v>9250.7</v>
      </c>
      <c r="N338" s="87"/>
      <c r="O338" s="87">
        <f t="shared" si="70"/>
        <v>9250.7</v>
      </c>
      <c r="P338" s="87"/>
      <c r="Q338" s="87">
        <f t="shared" si="67"/>
        <v>9250.7</v>
      </c>
      <c r="R338" s="87">
        <v>3136.9</v>
      </c>
      <c r="S338" s="87">
        <f t="shared" si="66"/>
        <v>12387.6</v>
      </c>
    </row>
    <row r="339" spans="1:19" ht="12.75">
      <c r="A339" s="62" t="str">
        <f ca="1">IF(ISERROR(MATCH(E339,Код_КЦСР,0)),"",INDIRECT(ADDRESS(MATCH(E339,Код_КЦСР,0)+1,2,,,"КЦСР")))</f>
        <v>Обеспечение жильем молодых семей</v>
      </c>
      <c r="B339" s="115">
        <v>801</v>
      </c>
      <c r="C339" s="8" t="s">
        <v>196</v>
      </c>
      <c r="D339" s="8" t="s">
        <v>223</v>
      </c>
      <c r="E339" s="115" t="s">
        <v>26</v>
      </c>
      <c r="F339" s="115"/>
      <c r="G339" s="70">
        <f>G340+G348</f>
        <v>2886.3</v>
      </c>
      <c r="H339" s="70">
        <f>H340+H348</f>
        <v>0</v>
      </c>
      <c r="I339" s="70">
        <f t="shared" si="74"/>
        <v>2886.3</v>
      </c>
      <c r="J339" s="70">
        <f>J340+J348</f>
        <v>0</v>
      </c>
      <c r="K339" s="87">
        <f t="shared" si="75"/>
        <v>2886.3</v>
      </c>
      <c r="L339" s="13">
        <f>L340+L348</f>
        <v>0</v>
      </c>
      <c r="M339" s="87">
        <f t="shared" si="69"/>
        <v>2886.3</v>
      </c>
      <c r="N339" s="13">
        <f>N340+N348</f>
        <v>0</v>
      </c>
      <c r="O339" s="87">
        <f t="shared" si="70"/>
        <v>2886.3</v>
      </c>
      <c r="P339" s="13">
        <f>P340+P348</f>
        <v>0</v>
      </c>
      <c r="Q339" s="87">
        <f t="shared" si="67"/>
        <v>2886.3</v>
      </c>
      <c r="R339" s="13">
        <f>R340+R348+R344</f>
        <v>504</v>
      </c>
      <c r="S339" s="87">
        <f t="shared" si="66"/>
        <v>3390.3</v>
      </c>
    </row>
    <row r="340" spans="1:19" ht="33">
      <c r="A340" s="62" t="str">
        <f ca="1">IF(ISERROR(MATCH(E340,Код_КЦСР,0)),"",INDIRECT(ADDRESS(MATCH(E340,Код_КЦСР,0)+1,2,,,"КЦСР")))</f>
        <v>Предоставление социальных выплат на приобретение (строительство) жилья молодыми семьями</v>
      </c>
      <c r="B340" s="115">
        <v>801</v>
      </c>
      <c r="C340" s="8" t="s">
        <v>196</v>
      </c>
      <c r="D340" s="8" t="s">
        <v>223</v>
      </c>
      <c r="E340" s="115" t="s">
        <v>28</v>
      </c>
      <c r="F340" s="115"/>
      <c r="G340" s="70">
        <f aca="true" t="shared" si="79" ref="G340:R342">G341</f>
        <v>2886.3</v>
      </c>
      <c r="H340" s="70">
        <f t="shared" si="79"/>
        <v>0</v>
      </c>
      <c r="I340" s="70">
        <f t="shared" si="74"/>
        <v>2886.3</v>
      </c>
      <c r="J340" s="70">
        <f t="shared" si="79"/>
        <v>0</v>
      </c>
      <c r="K340" s="87">
        <f t="shared" si="75"/>
        <v>2886.3</v>
      </c>
      <c r="L340" s="13">
        <f t="shared" si="79"/>
        <v>0</v>
      </c>
      <c r="M340" s="87">
        <f t="shared" si="69"/>
        <v>2886.3</v>
      </c>
      <c r="N340" s="13">
        <f t="shared" si="79"/>
        <v>0</v>
      </c>
      <c r="O340" s="87">
        <f t="shared" si="70"/>
        <v>2886.3</v>
      </c>
      <c r="P340" s="13">
        <f t="shared" si="79"/>
        <v>0</v>
      </c>
      <c r="Q340" s="87">
        <f t="shared" si="67"/>
        <v>2886.3</v>
      </c>
      <c r="R340" s="13">
        <f t="shared" si="79"/>
        <v>-1220.2</v>
      </c>
      <c r="S340" s="87">
        <f t="shared" si="66"/>
        <v>1666.1000000000001</v>
      </c>
    </row>
    <row r="341" spans="1:19" ht="12.75">
      <c r="A341" s="62" t="str">
        <f ca="1">IF(ISERROR(MATCH(F341,Код_КВР,0)),"",INDIRECT(ADDRESS(MATCH(F341,Код_КВР,0)+1,2,,,"КВР")))</f>
        <v>Социальное обеспечение и иные выплаты населению</v>
      </c>
      <c r="B341" s="115">
        <v>801</v>
      </c>
      <c r="C341" s="8" t="s">
        <v>196</v>
      </c>
      <c r="D341" s="8" t="s">
        <v>223</v>
      </c>
      <c r="E341" s="115" t="s">
        <v>28</v>
      </c>
      <c r="F341" s="115">
        <v>300</v>
      </c>
      <c r="G341" s="70">
        <f t="shared" si="79"/>
        <v>2886.3</v>
      </c>
      <c r="H341" s="70">
        <f t="shared" si="79"/>
        <v>0</v>
      </c>
      <c r="I341" s="70">
        <f t="shared" si="74"/>
        <v>2886.3</v>
      </c>
      <c r="J341" s="70">
        <f t="shared" si="79"/>
        <v>0</v>
      </c>
      <c r="K341" s="87">
        <f t="shared" si="75"/>
        <v>2886.3</v>
      </c>
      <c r="L341" s="13">
        <f t="shared" si="79"/>
        <v>0</v>
      </c>
      <c r="M341" s="87">
        <f t="shared" si="69"/>
        <v>2886.3</v>
      </c>
      <c r="N341" s="13">
        <f t="shared" si="79"/>
        <v>0</v>
      </c>
      <c r="O341" s="87">
        <f t="shared" si="70"/>
        <v>2886.3</v>
      </c>
      <c r="P341" s="13">
        <f t="shared" si="79"/>
        <v>0</v>
      </c>
      <c r="Q341" s="87">
        <f t="shared" si="67"/>
        <v>2886.3</v>
      </c>
      <c r="R341" s="13">
        <f t="shared" si="79"/>
        <v>-1220.2</v>
      </c>
      <c r="S341" s="87">
        <f t="shared" si="66"/>
        <v>1666.1000000000001</v>
      </c>
    </row>
    <row r="342" spans="1:19" ht="33">
      <c r="A342" s="62" t="str">
        <f ca="1">IF(ISERROR(MATCH(F342,Код_КВР,0)),"",INDIRECT(ADDRESS(MATCH(F342,Код_КВР,0)+1,2,,,"КВР")))</f>
        <v>Социальные выплаты гражданам, кроме публичных нормативных социальных выплат</v>
      </c>
      <c r="B342" s="115">
        <v>801</v>
      </c>
      <c r="C342" s="8" t="s">
        <v>196</v>
      </c>
      <c r="D342" s="8" t="s">
        <v>223</v>
      </c>
      <c r="E342" s="115" t="s">
        <v>28</v>
      </c>
      <c r="F342" s="115">
        <v>320</v>
      </c>
      <c r="G342" s="70">
        <f t="shared" si="79"/>
        <v>2886.3</v>
      </c>
      <c r="H342" s="70">
        <f t="shared" si="79"/>
        <v>0</v>
      </c>
      <c r="I342" s="70">
        <f t="shared" si="74"/>
        <v>2886.3</v>
      </c>
      <c r="J342" s="70">
        <f t="shared" si="79"/>
        <v>0</v>
      </c>
      <c r="K342" s="87">
        <f t="shared" si="75"/>
        <v>2886.3</v>
      </c>
      <c r="L342" s="13">
        <f t="shared" si="79"/>
        <v>0</v>
      </c>
      <c r="M342" s="87">
        <f t="shared" si="69"/>
        <v>2886.3</v>
      </c>
      <c r="N342" s="13">
        <f t="shared" si="79"/>
        <v>0</v>
      </c>
      <c r="O342" s="87">
        <f t="shared" si="70"/>
        <v>2886.3</v>
      </c>
      <c r="P342" s="13">
        <f t="shared" si="79"/>
        <v>0</v>
      </c>
      <c r="Q342" s="87">
        <f t="shared" si="67"/>
        <v>2886.3</v>
      </c>
      <c r="R342" s="13">
        <f t="shared" si="79"/>
        <v>-1220.2</v>
      </c>
      <c r="S342" s="87">
        <f t="shared" si="66"/>
        <v>1666.1000000000001</v>
      </c>
    </row>
    <row r="343" spans="1:19" ht="12.75">
      <c r="A343" s="62" t="str">
        <f ca="1">IF(ISERROR(MATCH(F343,Код_КВР,0)),"",INDIRECT(ADDRESS(MATCH(F343,Код_КВР,0)+1,2,,,"КВР")))</f>
        <v>Субсидии гражданам на приобретение жилья</v>
      </c>
      <c r="B343" s="115">
        <v>801</v>
      </c>
      <c r="C343" s="8" t="s">
        <v>196</v>
      </c>
      <c r="D343" s="8" t="s">
        <v>223</v>
      </c>
      <c r="E343" s="115" t="s">
        <v>28</v>
      </c>
      <c r="F343" s="115">
        <v>322</v>
      </c>
      <c r="G343" s="70">
        <v>2886.3</v>
      </c>
      <c r="H343" s="65"/>
      <c r="I343" s="70">
        <f t="shared" si="74"/>
        <v>2886.3</v>
      </c>
      <c r="J343" s="65"/>
      <c r="K343" s="87">
        <f t="shared" si="75"/>
        <v>2886.3</v>
      </c>
      <c r="L343" s="87"/>
      <c r="M343" s="87">
        <f t="shared" si="69"/>
        <v>2886.3</v>
      </c>
      <c r="N343" s="87"/>
      <c r="O343" s="87">
        <f t="shared" si="70"/>
        <v>2886.3</v>
      </c>
      <c r="P343" s="87"/>
      <c r="Q343" s="87">
        <f t="shared" si="67"/>
        <v>2886.3</v>
      </c>
      <c r="R343" s="87">
        <v>-1220.2</v>
      </c>
      <c r="S343" s="87">
        <f t="shared" si="66"/>
        <v>1666.1000000000001</v>
      </c>
    </row>
    <row r="344" spans="1:19" s="94" customFormat="1" ht="48" customHeight="1">
      <c r="A344" s="62" t="str">
        <f ca="1">IF(ISERROR(MATCH(E344,Код_КЦСР,0)),"",INDIRECT(ADDRESS(MATCH(E344,Код_КЦСР,0)+1,2,,,"КЦСР")))</f>
        <v>Мероприятия подпрограммы "Обеспечение жильем молодых семей" федеральной целевой программы "Жилище" на 2011-2015 годы за счет субсидий из федерального бюджета</v>
      </c>
      <c r="B344" s="121">
        <v>801</v>
      </c>
      <c r="C344" s="8" t="s">
        <v>196</v>
      </c>
      <c r="D344" s="8" t="s">
        <v>223</v>
      </c>
      <c r="E344" s="121" t="s">
        <v>652</v>
      </c>
      <c r="F344" s="121"/>
      <c r="G344" s="70"/>
      <c r="H344" s="65"/>
      <c r="I344" s="70"/>
      <c r="J344" s="65"/>
      <c r="K344" s="87"/>
      <c r="L344" s="87"/>
      <c r="M344" s="87"/>
      <c r="N344" s="87"/>
      <c r="O344" s="87"/>
      <c r="P344" s="87"/>
      <c r="Q344" s="87"/>
      <c r="R344" s="87">
        <f>R345</f>
        <v>804</v>
      </c>
      <c r="S344" s="87">
        <f t="shared" si="66"/>
        <v>804</v>
      </c>
    </row>
    <row r="345" spans="1:19" s="94" customFormat="1" ht="19.5" customHeight="1">
      <c r="A345" s="62" t="str">
        <f ca="1">IF(ISERROR(MATCH(F345,Код_КВР,0)),"",INDIRECT(ADDRESS(MATCH(F345,Код_КВР,0)+1,2,,,"КВР")))</f>
        <v>Социальное обеспечение и иные выплаты населению</v>
      </c>
      <c r="B345" s="121">
        <v>801</v>
      </c>
      <c r="C345" s="8" t="s">
        <v>196</v>
      </c>
      <c r="D345" s="8" t="s">
        <v>223</v>
      </c>
      <c r="E345" s="121" t="s">
        <v>652</v>
      </c>
      <c r="F345" s="121">
        <v>300</v>
      </c>
      <c r="G345" s="70"/>
      <c r="H345" s="65"/>
      <c r="I345" s="70"/>
      <c r="J345" s="65"/>
      <c r="K345" s="87"/>
      <c r="L345" s="87"/>
      <c r="M345" s="87"/>
      <c r="N345" s="87"/>
      <c r="O345" s="87"/>
      <c r="P345" s="87"/>
      <c r="Q345" s="87"/>
      <c r="R345" s="87">
        <f>R346</f>
        <v>804</v>
      </c>
      <c r="S345" s="87">
        <f t="shared" si="66"/>
        <v>804</v>
      </c>
    </row>
    <row r="346" spans="1:19" s="94" customFormat="1" ht="33">
      <c r="A346" s="62" t="str">
        <f ca="1">IF(ISERROR(MATCH(F346,Код_КВР,0)),"",INDIRECT(ADDRESS(MATCH(F346,Код_КВР,0)+1,2,,,"КВР")))</f>
        <v>Социальные выплаты гражданам, кроме публичных нормативных социальных выплат</v>
      </c>
      <c r="B346" s="121">
        <v>801</v>
      </c>
      <c r="C346" s="8" t="s">
        <v>196</v>
      </c>
      <c r="D346" s="8" t="s">
        <v>223</v>
      </c>
      <c r="E346" s="121" t="s">
        <v>652</v>
      </c>
      <c r="F346" s="121">
        <v>320</v>
      </c>
      <c r="G346" s="70"/>
      <c r="H346" s="65"/>
      <c r="I346" s="70"/>
      <c r="J346" s="65"/>
      <c r="K346" s="87"/>
      <c r="L346" s="87"/>
      <c r="M346" s="87"/>
      <c r="N346" s="87"/>
      <c r="O346" s="87"/>
      <c r="P346" s="87"/>
      <c r="Q346" s="87"/>
      <c r="R346" s="87">
        <f>R347</f>
        <v>804</v>
      </c>
      <c r="S346" s="87">
        <f t="shared" si="66"/>
        <v>804</v>
      </c>
    </row>
    <row r="347" spans="1:19" s="94" customFormat="1" ht="12.75">
      <c r="A347" s="62" t="str">
        <f ca="1">IF(ISERROR(MATCH(F347,Код_КВР,0)),"",INDIRECT(ADDRESS(MATCH(F347,Код_КВР,0)+1,2,,,"КВР")))</f>
        <v>Субсидии гражданам на приобретение жилья</v>
      </c>
      <c r="B347" s="121">
        <v>801</v>
      </c>
      <c r="C347" s="8" t="s">
        <v>196</v>
      </c>
      <c r="D347" s="8" t="s">
        <v>223</v>
      </c>
      <c r="E347" s="121" t="s">
        <v>652</v>
      </c>
      <c r="F347" s="121">
        <v>322</v>
      </c>
      <c r="G347" s="70"/>
      <c r="H347" s="65"/>
      <c r="I347" s="70"/>
      <c r="J347" s="65"/>
      <c r="K347" s="87"/>
      <c r="L347" s="87"/>
      <c r="M347" s="87"/>
      <c r="N347" s="87"/>
      <c r="O347" s="87"/>
      <c r="P347" s="87"/>
      <c r="Q347" s="87"/>
      <c r="R347" s="87">
        <v>804</v>
      </c>
      <c r="S347" s="87">
        <f t="shared" si="66"/>
        <v>804</v>
      </c>
    </row>
    <row r="348" spans="1:19" ht="115.5">
      <c r="A348" s="62" t="str">
        <f ca="1">IF(ISERROR(MATCH(E348,Код_КЦСР,0)),"",INDIRECT(ADDRESS(MATCH(E348,Код_КЦСР,0)+1,2,,,"КЦСР")))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48" s="115">
        <v>801</v>
      </c>
      <c r="C348" s="8" t="s">
        <v>196</v>
      </c>
      <c r="D348" s="8" t="s">
        <v>223</v>
      </c>
      <c r="E348" s="115" t="s">
        <v>427</v>
      </c>
      <c r="F348" s="115"/>
      <c r="G348" s="70">
        <f>G349</f>
        <v>0</v>
      </c>
      <c r="H348" s="65"/>
      <c r="I348" s="70">
        <f t="shared" si="74"/>
        <v>0</v>
      </c>
      <c r="J348" s="65"/>
      <c r="K348" s="87">
        <f t="shared" si="75"/>
        <v>0</v>
      </c>
      <c r="L348" s="87"/>
      <c r="M348" s="87">
        <f t="shared" si="69"/>
        <v>0</v>
      </c>
      <c r="N348" s="87"/>
      <c r="O348" s="87">
        <f t="shared" si="70"/>
        <v>0</v>
      </c>
      <c r="P348" s="87"/>
      <c r="Q348" s="87">
        <f t="shared" si="67"/>
        <v>0</v>
      </c>
      <c r="R348" s="13">
        <f aca="true" t="shared" si="80" ref="R348">R349</f>
        <v>920.2</v>
      </c>
      <c r="S348" s="87">
        <f t="shared" si="66"/>
        <v>920.2</v>
      </c>
    </row>
    <row r="349" spans="1:19" ht="12.75">
      <c r="A349" s="62" t="str">
        <f ca="1">IF(ISERROR(MATCH(F349,Код_КВР,0)),"",INDIRECT(ADDRESS(MATCH(F349,Код_КВР,0)+1,2,,,"КВР")))</f>
        <v>Социальное обеспечение и иные выплаты населению</v>
      </c>
      <c r="B349" s="115">
        <v>801</v>
      </c>
      <c r="C349" s="8" t="s">
        <v>196</v>
      </c>
      <c r="D349" s="8" t="s">
        <v>223</v>
      </c>
      <c r="E349" s="115" t="s">
        <v>427</v>
      </c>
      <c r="F349" s="115">
        <v>300</v>
      </c>
      <c r="G349" s="70">
        <f>G350</f>
        <v>0</v>
      </c>
      <c r="H349" s="65"/>
      <c r="I349" s="70">
        <f t="shared" si="74"/>
        <v>0</v>
      </c>
      <c r="J349" s="65"/>
      <c r="K349" s="87">
        <f t="shared" si="75"/>
        <v>0</v>
      </c>
      <c r="L349" s="87"/>
      <c r="M349" s="87">
        <f t="shared" si="69"/>
        <v>0</v>
      </c>
      <c r="N349" s="87"/>
      <c r="O349" s="87">
        <f t="shared" si="70"/>
        <v>0</v>
      </c>
      <c r="P349" s="87"/>
      <c r="Q349" s="87">
        <f t="shared" si="67"/>
        <v>0</v>
      </c>
      <c r="R349" s="87">
        <f>R350</f>
        <v>920.2</v>
      </c>
      <c r="S349" s="87">
        <f t="shared" si="66"/>
        <v>920.2</v>
      </c>
    </row>
    <row r="350" spans="1:19" ht="33">
      <c r="A350" s="62" t="str">
        <f ca="1">IF(ISERROR(MATCH(F350,Код_КВР,0)),"",INDIRECT(ADDRESS(MATCH(F350,Код_КВР,0)+1,2,,,"КВР")))</f>
        <v>Социальные выплаты гражданам, кроме публичных нормативных социальных выплат</v>
      </c>
      <c r="B350" s="115">
        <v>801</v>
      </c>
      <c r="C350" s="8" t="s">
        <v>196</v>
      </c>
      <c r="D350" s="8" t="s">
        <v>223</v>
      </c>
      <c r="E350" s="115" t="s">
        <v>427</v>
      </c>
      <c r="F350" s="115">
        <v>320</v>
      </c>
      <c r="G350" s="70">
        <f>G351</f>
        <v>0</v>
      </c>
      <c r="H350" s="65"/>
      <c r="I350" s="70">
        <f t="shared" si="74"/>
        <v>0</v>
      </c>
      <c r="J350" s="65"/>
      <c r="K350" s="87">
        <f t="shared" si="75"/>
        <v>0</v>
      </c>
      <c r="L350" s="87"/>
      <c r="M350" s="87">
        <f t="shared" si="69"/>
        <v>0</v>
      </c>
      <c r="N350" s="87"/>
      <c r="O350" s="87">
        <f t="shared" si="70"/>
        <v>0</v>
      </c>
      <c r="P350" s="87"/>
      <c r="Q350" s="87">
        <f t="shared" si="67"/>
        <v>0</v>
      </c>
      <c r="R350" s="87">
        <f>R351</f>
        <v>920.2</v>
      </c>
      <c r="S350" s="87">
        <f t="shared" si="66"/>
        <v>920.2</v>
      </c>
    </row>
    <row r="351" spans="1:19" ht="12.75">
      <c r="A351" s="62" t="str">
        <f ca="1">IF(ISERROR(MATCH(F351,Код_КВР,0)),"",INDIRECT(ADDRESS(MATCH(F351,Код_КВР,0)+1,2,,,"КВР")))</f>
        <v>Субсидии гражданам на приобретение жилья</v>
      </c>
      <c r="B351" s="115">
        <v>801</v>
      </c>
      <c r="C351" s="8" t="s">
        <v>196</v>
      </c>
      <c r="D351" s="8" t="s">
        <v>223</v>
      </c>
      <c r="E351" s="115" t="s">
        <v>427</v>
      </c>
      <c r="F351" s="115">
        <v>322</v>
      </c>
      <c r="G351" s="70"/>
      <c r="H351" s="65"/>
      <c r="I351" s="70">
        <f t="shared" si="74"/>
        <v>0</v>
      </c>
      <c r="J351" s="65"/>
      <c r="K351" s="87">
        <f t="shared" si="75"/>
        <v>0</v>
      </c>
      <c r="L351" s="87"/>
      <c r="M351" s="87">
        <f t="shared" si="69"/>
        <v>0</v>
      </c>
      <c r="N351" s="87"/>
      <c r="O351" s="87">
        <f t="shared" si="70"/>
        <v>0</v>
      </c>
      <c r="P351" s="87"/>
      <c r="Q351" s="87">
        <f t="shared" si="67"/>
        <v>0</v>
      </c>
      <c r="R351" s="87">
        <v>920.2</v>
      </c>
      <c r="S351" s="87">
        <f t="shared" si="66"/>
        <v>920.2</v>
      </c>
    </row>
    <row r="352" spans="1:19" ht="33" customHeight="1">
      <c r="A352" s="62" t="str">
        <f ca="1">IF(ISERROR(MATCH(E352,Код_КЦСР,0)),"",INDIRECT(ADDRESS(MATCH(E352,Код_КЦСР,0)+1,2,,,"КЦСР")))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52" s="115">
        <v>801</v>
      </c>
      <c r="C352" s="8" t="s">
        <v>196</v>
      </c>
      <c r="D352" s="8" t="s">
        <v>223</v>
      </c>
      <c r="E352" s="115" t="s">
        <v>30</v>
      </c>
      <c r="F352" s="115"/>
      <c r="G352" s="70">
        <f aca="true" t="shared" si="81" ref="G352:R355">G353</f>
        <v>9169.8</v>
      </c>
      <c r="H352" s="70">
        <f t="shared" si="81"/>
        <v>0</v>
      </c>
      <c r="I352" s="70">
        <f t="shared" si="74"/>
        <v>9169.8</v>
      </c>
      <c r="J352" s="70">
        <f t="shared" si="81"/>
        <v>0</v>
      </c>
      <c r="K352" s="87">
        <f t="shared" si="75"/>
        <v>9169.8</v>
      </c>
      <c r="L352" s="13">
        <f t="shared" si="81"/>
        <v>0</v>
      </c>
      <c r="M352" s="87">
        <f t="shared" si="69"/>
        <v>9169.8</v>
      </c>
      <c r="N352" s="13">
        <f t="shared" si="81"/>
        <v>0</v>
      </c>
      <c r="O352" s="87">
        <f t="shared" si="70"/>
        <v>9169.8</v>
      </c>
      <c r="P352" s="13">
        <f t="shared" si="81"/>
        <v>0</v>
      </c>
      <c r="Q352" s="87">
        <f t="shared" si="67"/>
        <v>9169.8</v>
      </c>
      <c r="R352" s="13">
        <f>R353</f>
        <v>-6634.6</v>
      </c>
      <c r="S352" s="87">
        <f aca="true" t="shared" si="82" ref="S352:S415">Q352+R352</f>
        <v>2535.199999999999</v>
      </c>
    </row>
    <row r="353" spans="1:19" ht="33">
      <c r="A353" s="62" t="str">
        <f ca="1">IF(ISERROR(MATCH(E353,Код_КЦСР,0)),"",INDIRECT(ADDRESS(MATCH(E353,Код_КЦСР,0)+1,2,,,"КЦСР")))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53" s="115">
        <v>801</v>
      </c>
      <c r="C353" s="8" t="s">
        <v>196</v>
      </c>
      <c r="D353" s="8" t="s">
        <v>223</v>
      </c>
      <c r="E353" s="115" t="s">
        <v>32</v>
      </c>
      <c r="F353" s="115"/>
      <c r="G353" s="70">
        <f t="shared" si="81"/>
        <v>9169.8</v>
      </c>
      <c r="H353" s="70">
        <f t="shared" si="81"/>
        <v>0</v>
      </c>
      <c r="I353" s="70">
        <f t="shared" si="74"/>
        <v>9169.8</v>
      </c>
      <c r="J353" s="70">
        <f t="shared" si="81"/>
        <v>0</v>
      </c>
      <c r="K353" s="87">
        <f t="shared" si="75"/>
        <v>9169.8</v>
      </c>
      <c r="L353" s="13">
        <f t="shared" si="81"/>
        <v>0</v>
      </c>
      <c r="M353" s="87">
        <f t="shared" si="69"/>
        <v>9169.8</v>
      </c>
      <c r="N353" s="13">
        <f t="shared" si="81"/>
        <v>0</v>
      </c>
      <c r="O353" s="87">
        <f t="shared" si="70"/>
        <v>9169.8</v>
      </c>
      <c r="P353" s="13">
        <f t="shared" si="81"/>
        <v>0</v>
      </c>
      <c r="Q353" s="87">
        <f t="shared" si="67"/>
        <v>9169.8</v>
      </c>
      <c r="R353" s="13">
        <f t="shared" si="81"/>
        <v>-6634.6</v>
      </c>
      <c r="S353" s="87">
        <f t="shared" si="82"/>
        <v>2535.199999999999</v>
      </c>
    </row>
    <row r="354" spans="1:19" ht="18.75" customHeight="1">
      <c r="A354" s="62" t="str">
        <f ca="1">IF(ISERROR(MATCH(F354,Код_КВР,0)),"",INDIRECT(ADDRESS(MATCH(F354,Код_КВР,0)+1,2,,,"КВР")))</f>
        <v>Социальное обеспечение и иные выплаты населению</v>
      </c>
      <c r="B354" s="115">
        <v>801</v>
      </c>
      <c r="C354" s="8" t="s">
        <v>196</v>
      </c>
      <c r="D354" s="8" t="s">
        <v>223</v>
      </c>
      <c r="E354" s="115" t="s">
        <v>32</v>
      </c>
      <c r="F354" s="115">
        <v>300</v>
      </c>
      <c r="G354" s="70">
        <f t="shared" si="81"/>
        <v>9169.8</v>
      </c>
      <c r="H354" s="70">
        <f t="shared" si="81"/>
        <v>0</v>
      </c>
      <c r="I354" s="70">
        <f t="shared" si="74"/>
        <v>9169.8</v>
      </c>
      <c r="J354" s="70">
        <f t="shared" si="81"/>
        <v>0</v>
      </c>
      <c r="K354" s="87">
        <f t="shared" si="75"/>
        <v>9169.8</v>
      </c>
      <c r="L354" s="13">
        <f t="shared" si="81"/>
        <v>0</v>
      </c>
      <c r="M354" s="87">
        <f t="shared" si="69"/>
        <v>9169.8</v>
      </c>
      <c r="N354" s="13">
        <f t="shared" si="81"/>
        <v>0</v>
      </c>
      <c r="O354" s="87">
        <f t="shared" si="70"/>
        <v>9169.8</v>
      </c>
      <c r="P354" s="13">
        <f t="shared" si="81"/>
        <v>0</v>
      </c>
      <c r="Q354" s="87">
        <f t="shared" si="67"/>
        <v>9169.8</v>
      </c>
      <c r="R354" s="13">
        <f t="shared" si="81"/>
        <v>-6634.6</v>
      </c>
      <c r="S354" s="87">
        <f t="shared" si="82"/>
        <v>2535.199999999999</v>
      </c>
    </row>
    <row r="355" spans="1:19" ht="33">
      <c r="A355" s="62" t="str">
        <f ca="1">IF(ISERROR(MATCH(F355,Код_КВР,0)),"",INDIRECT(ADDRESS(MATCH(F355,Код_КВР,0)+1,2,,,"КВР")))</f>
        <v>Социальные выплаты гражданам, кроме публичных нормативных социальных выплат</v>
      </c>
      <c r="B355" s="115">
        <v>801</v>
      </c>
      <c r="C355" s="8" t="s">
        <v>196</v>
      </c>
      <c r="D355" s="8" t="s">
        <v>223</v>
      </c>
      <c r="E355" s="115" t="s">
        <v>32</v>
      </c>
      <c r="F355" s="115">
        <v>320</v>
      </c>
      <c r="G355" s="70">
        <f t="shared" si="81"/>
        <v>9169.8</v>
      </c>
      <c r="H355" s="70">
        <f t="shared" si="81"/>
        <v>0</v>
      </c>
      <c r="I355" s="70">
        <f t="shared" si="74"/>
        <v>9169.8</v>
      </c>
      <c r="J355" s="70">
        <f t="shared" si="81"/>
        <v>0</v>
      </c>
      <c r="K355" s="87">
        <f t="shared" si="75"/>
        <v>9169.8</v>
      </c>
      <c r="L355" s="13">
        <f t="shared" si="81"/>
        <v>0</v>
      </c>
      <c r="M355" s="87">
        <f t="shared" si="69"/>
        <v>9169.8</v>
      </c>
      <c r="N355" s="13">
        <f t="shared" si="81"/>
        <v>0</v>
      </c>
      <c r="O355" s="87">
        <f t="shared" si="70"/>
        <v>9169.8</v>
      </c>
      <c r="P355" s="13">
        <f t="shared" si="81"/>
        <v>0</v>
      </c>
      <c r="Q355" s="87">
        <f t="shared" si="67"/>
        <v>9169.8</v>
      </c>
      <c r="R355" s="13">
        <f t="shared" si="81"/>
        <v>-6634.6</v>
      </c>
      <c r="S355" s="87">
        <f t="shared" si="82"/>
        <v>2535.199999999999</v>
      </c>
    </row>
    <row r="356" spans="1:19" ht="33">
      <c r="A356" s="62" t="str">
        <f ca="1">IF(ISERROR(MATCH(F356,Код_КВР,0)),"",INDIRECT(ADDRESS(MATCH(F356,Код_КВР,0)+1,2,,,"КВР")))</f>
        <v>Пособия, компенсации и иные социальные выплаты гражданам, кроме публичных нормативных обязательств</v>
      </c>
      <c r="B356" s="115">
        <v>801</v>
      </c>
      <c r="C356" s="8" t="s">
        <v>196</v>
      </c>
      <c r="D356" s="8" t="s">
        <v>223</v>
      </c>
      <c r="E356" s="115" t="s">
        <v>32</v>
      </c>
      <c r="F356" s="115">
        <v>321</v>
      </c>
      <c r="G356" s="70">
        <v>9169.8</v>
      </c>
      <c r="H356" s="65"/>
      <c r="I356" s="70">
        <f t="shared" si="74"/>
        <v>9169.8</v>
      </c>
      <c r="J356" s="65"/>
      <c r="K356" s="87">
        <f t="shared" si="75"/>
        <v>9169.8</v>
      </c>
      <c r="L356" s="87"/>
      <c r="M356" s="87">
        <f t="shared" si="69"/>
        <v>9169.8</v>
      </c>
      <c r="N356" s="87"/>
      <c r="O356" s="87">
        <f t="shared" si="70"/>
        <v>9169.8</v>
      </c>
      <c r="P356" s="87"/>
      <c r="Q356" s="87">
        <f t="shared" si="67"/>
        <v>9169.8</v>
      </c>
      <c r="R356" s="87">
        <f>-2500-4134.6</f>
        <v>-6634.6</v>
      </c>
      <c r="S356" s="87">
        <f t="shared" si="82"/>
        <v>2535.199999999999</v>
      </c>
    </row>
    <row r="357" spans="1:19" ht="33">
      <c r="A357" s="62" t="str">
        <f ca="1">IF(ISERROR(MATCH(E357,Код_КЦСР,0)),"",INDIRECT(ADDRESS(MATCH(E357,Код_КЦСР,0)+1,2,,,"КЦСР")))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57" s="115">
        <v>801</v>
      </c>
      <c r="C357" s="8" t="s">
        <v>196</v>
      </c>
      <c r="D357" s="8" t="s">
        <v>223</v>
      </c>
      <c r="E357" s="115" t="s">
        <v>158</v>
      </c>
      <c r="F357" s="115"/>
      <c r="G357" s="70">
        <f aca="true" t="shared" si="83" ref="G357:R360">G358</f>
        <v>100</v>
      </c>
      <c r="H357" s="70">
        <f t="shared" si="83"/>
        <v>0</v>
      </c>
      <c r="I357" s="70">
        <f t="shared" si="74"/>
        <v>100</v>
      </c>
      <c r="J357" s="70">
        <f t="shared" si="83"/>
        <v>0</v>
      </c>
      <c r="K357" s="87">
        <f t="shared" si="75"/>
        <v>100</v>
      </c>
      <c r="L357" s="13">
        <f t="shared" si="83"/>
        <v>0</v>
      </c>
      <c r="M357" s="87">
        <f t="shared" si="69"/>
        <v>100</v>
      </c>
      <c r="N357" s="13">
        <f t="shared" si="83"/>
        <v>0</v>
      </c>
      <c r="O357" s="87">
        <f t="shared" si="70"/>
        <v>100</v>
      </c>
      <c r="P357" s="13">
        <f t="shared" si="83"/>
        <v>0</v>
      </c>
      <c r="Q357" s="87">
        <f aca="true" t="shared" si="84" ref="Q357:Q420">O357+P357</f>
        <v>100</v>
      </c>
      <c r="R357" s="13">
        <f t="shared" si="83"/>
        <v>0</v>
      </c>
      <c r="S357" s="87">
        <f t="shared" si="82"/>
        <v>100</v>
      </c>
    </row>
    <row r="358" spans="1:19" ht="22.5" customHeight="1">
      <c r="A358" s="62" t="str">
        <f ca="1">IF(ISERROR(MATCH(E358,Код_КЦСР,0)),"",INDIRECT(ADDRESS(MATCH(E358,Код_КЦСР,0)+1,2,,,"КЦСР")))</f>
        <v>Профилактика преступлений и иных правонарушений в городе Череповце</v>
      </c>
      <c r="B358" s="115">
        <v>801</v>
      </c>
      <c r="C358" s="8" t="s">
        <v>196</v>
      </c>
      <c r="D358" s="8" t="s">
        <v>223</v>
      </c>
      <c r="E358" s="115" t="s">
        <v>160</v>
      </c>
      <c r="F358" s="115"/>
      <c r="G358" s="70">
        <f t="shared" si="83"/>
        <v>100</v>
      </c>
      <c r="H358" s="70">
        <f t="shared" si="83"/>
        <v>0</v>
      </c>
      <c r="I358" s="70">
        <f t="shared" si="74"/>
        <v>100</v>
      </c>
      <c r="J358" s="70">
        <f t="shared" si="83"/>
        <v>0</v>
      </c>
      <c r="K358" s="87">
        <f t="shared" si="75"/>
        <v>100</v>
      </c>
      <c r="L358" s="13">
        <f t="shared" si="83"/>
        <v>0</v>
      </c>
      <c r="M358" s="87">
        <f t="shared" si="69"/>
        <v>100</v>
      </c>
      <c r="N358" s="13">
        <f t="shared" si="83"/>
        <v>0</v>
      </c>
      <c r="O358" s="87">
        <f t="shared" si="70"/>
        <v>100</v>
      </c>
      <c r="P358" s="13">
        <f t="shared" si="83"/>
        <v>0</v>
      </c>
      <c r="Q358" s="87">
        <f t="shared" si="84"/>
        <v>100</v>
      </c>
      <c r="R358" s="13">
        <f t="shared" si="83"/>
        <v>0</v>
      </c>
      <c r="S358" s="87">
        <f t="shared" si="82"/>
        <v>100</v>
      </c>
    </row>
    <row r="359" spans="1:19" ht="12.75">
      <c r="A359" s="62" t="str">
        <f ca="1">IF(ISERROR(MATCH(E359,Код_КЦСР,0)),"",INDIRECT(ADDRESS(MATCH(E359,Код_КЦСР,0)+1,2,,,"КЦСР")))</f>
        <v>Привлечение общественности к охране общественного порядка</v>
      </c>
      <c r="B359" s="115">
        <v>801</v>
      </c>
      <c r="C359" s="8" t="s">
        <v>196</v>
      </c>
      <c r="D359" s="8" t="s">
        <v>223</v>
      </c>
      <c r="E359" s="115" t="s">
        <v>162</v>
      </c>
      <c r="F359" s="115"/>
      <c r="G359" s="70">
        <f t="shared" si="83"/>
        <v>100</v>
      </c>
      <c r="H359" s="70">
        <f t="shared" si="83"/>
        <v>0</v>
      </c>
      <c r="I359" s="70">
        <f t="shared" si="74"/>
        <v>100</v>
      </c>
      <c r="J359" s="70">
        <f t="shared" si="83"/>
        <v>0</v>
      </c>
      <c r="K359" s="87">
        <f t="shared" si="75"/>
        <v>100</v>
      </c>
      <c r="L359" s="13">
        <f t="shared" si="83"/>
        <v>0</v>
      </c>
      <c r="M359" s="87">
        <f t="shared" si="69"/>
        <v>100</v>
      </c>
      <c r="N359" s="13">
        <f t="shared" si="83"/>
        <v>0</v>
      </c>
      <c r="O359" s="87">
        <f t="shared" si="70"/>
        <v>100</v>
      </c>
      <c r="P359" s="13">
        <f t="shared" si="83"/>
        <v>0</v>
      </c>
      <c r="Q359" s="87">
        <f t="shared" si="84"/>
        <v>100</v>
      </c>
      <c r="R359" s="13">
        <f t="shared" si="83"/>
        <v>0</v>
      </c>
      <c r="S359" s="87">
        <f t="shared" si="82"/>
        <v>100</v>
      </c>
    </row>
    <row r="360" spans="1:19" ht="12.75">
      <c r="A360" s="62" t="str">
        <f ca="1">IF(ISERROR(MATCH(F360,Код_КВР,0)),"",INDIRECT(ADDRESS(MATCH(F360,Код_КВР,0)+1,2,,,"КВР")))</f>
        <v>Социальное обеспечение и иные выплаты населению</v>
      </c>
      <c r="B360" s="115">
        <v>801</v>
      </c>
      <c r="C360" s="8" t="s">
        <v>196</v>
      </c>
      <c r="D360" s="8" t="s">
        <v>223</v>
      </c>
      <c r="E360" s="115" t="s">
        <v>162</v>
      </c>
      <c r="F360" s="115">
        <v>300</v>
      </c>
      <c r="G360" s="70">
        <f t="shared" si="83"/>
        <v>100</v>
      </c>
      <c r="H360" s="70">
        <f t="shared" si="83"/>
        <v>0</v>
      </c>
      <c r="I360" s="70">
        <f t="shared" si="74"/>
        <v>100</v>
      </c>
      <c r="J360" s="70">
        <f t="shared" si="83"/>
        <v>0</v>
      </c>
      <c r="K360" s="87">
        <f t="shared" si="75"/>
        <v>100</v>
      </c>
      <c r="L360" s="13">
        <f t="shared" si="83"/>
        <v>0</v>
      </c>
      <c r="M360" s="87">
        <f t="shared" si="69"/>
        <v>100</v>
      </c>
      <c r="N360" s="13">
        <f t="shared" si="83"/>
        <v>0</v>
      </c>
      <c r="O360" s="87">
        <f t="shared" si="70"/>
        <v>100</v>
      </c>
      <c r="P360" s="13">
        <f t="shared" si="83"/>
        <v>0</v>
      </c>
      <c r="Q360" s="87">
        <f t="shared" si="84"/>
        <v>100</v>
      </c>
      <c r="R360" s="13">
        <f t="shared" si="83"/>
        <v>0</v>
      </c>
      <c r="S360" s="87">
        <f t="shared" si="82"/>
        <v>100</v>
      </c>
    </row>
    <row r="361" spans="1:19" ht="12.75">
      <c r="A361" s="62" t="str">
        <f ca="1">IF(ISERROR(MATCH(F361,Код_КВР,0)),"",INDIRECT(ADDRESS(MATCH(F361,Код_КВР,0)+1,2,,,"КВР")))</f>
        <v>Иные выплаты населению</v>
      </c>
      <c r="B361" s="115">
        <v>801</v>
      </c>
      <c r="C361" s="8" t="s">
        <v>196</v>
      </c>
      <c r="D361" s="8" t="s">
        <v>223</v>
      </c>
      <c r="E361" s="115" t="s">
        <v>162</v>
      </c>
      <c r="F361" s="115">
        <v>360</v>
      </c>
      <c r="G361" s="70">
        <v>100</v>
      </c>
      <c r="H361" s="65"/>
      <c r="I361" s="70">
        <f t="shared" si="74"/>
        <v>100</v>
      </c>
      <c r="J361" s="65"/>
      <c r="K361" s="87">
        <f t="shared" si="75"/>
        <v>100</v>
      </c>
      <c r="L361" s="87"/>
      <c r="M361" s="87">
        <f t="shared" si="69"/>
        <v>100</v>
      </c>
      <c r="N361" s="87"/>
      <c r="O361" s="87">
        <f t="shared" si="70"/>
        <v>100</v>
      </c>
      <c r="P361" s="87"/>
      <c r="Q361" s="87">
        <f t="shared" si="84"/>
        <v>100</v>
      </c>
      <c r="R361" s="87"/>
      <c r="S361" s="87">
        <f t="shared" si="82"/>
        <v>100</v>
      </c>
    </row>
    <row r="362" spans="1:19" ht="12.75">
      <c r="A362" s="62" t="str">
        <f ca="1">IF(ISERROR(MATCH(C362,Код_Раздел,0)),"",INDIRECT(ADDRESS(MATCH(C362,Код_Раздел,0)+1,2,,,"Раздел")))</f>
        <v>Средства массовой информации</v>
      </c>
      <c r="B362" s="115">
        <v>801</v>
      </c>
      <c r="C362" s="8" t="s">
        <v>204</v>
      </c>
      <c r="D362" s="8"/>
      <c r="E362" s="115"/>
      <c r="F362" s="115"/>
      <c r="G362" s="70">
        <f>G363</f>
        <v>44285.899999999994</v>
      </c>
      <c r="H362" s="70">
        <f>H363</f>
        <v>0</v>
      </c>
      <c r="I362" s="70">
        <f t="shared" si="74"/>
        <v>44285.899999999994</v>
      </c>
      <c r="J362" s="70">
        <f>J363</f>
        <v>134</v>
      </c>
      <c r="K362" s="87">
        <f t="shared" si="75"/>
        <v>44419.899999999994</v>
      </c>
      <c r="L362" s="13">
        <f>L363</f>
        <v>-61.9</v>
      </c>
      <c r="M362" s="87">
        <f t="shared" si="69"/>
        <v>44357.99999999999</v>
      </c>
      <c r="N362" s="13">
        <f>N363</f>
        <v>34.9</v>
      </c>
      <c r="O362" s="87">
        <f t="shared" si="70"/>
        <v>44392.899999999994</v>
      </c>
      <c r="P362" s="13">
        <f>P363</f>
        <v>0</v>
      </c>
      <c r="Q362" s="87">
        <f t="shared" si="84"/>
        <v>44392.899999999994</v>
      </c>
      <c r="R362" s="13">
        <f>R363</f>
        <v>4108.8</v>
      </c>
      <c r="S362" s="87">
        <f t="shared" si="82"/>
        <v>48501.7</v>
      </c>
    </row>
    <row r="363" spans="1:19" ht="12.75">
      <c r="A363" s="12" t="s">
        <v>206</v>
      </c>
      <c r="B363" s="115">
        <v>801</v>
      </c>
      <c r="C363" s="8" t="s">
        <v>204</v>
      </c>
      <c r="D363" s="8" t="s">
        <v>222</v>
      </c>
      <c r="E363" s="115"/>
      <c r="F363" s="115"/>
      <c r="G363" s="70">
        <f>G370</f>
        <v>44285.899999999994</v>
      </c>
      <c r="H363" s="70">
        <f>H370</f>
        <v>0</v>
      </c>
      <c r="I363" s="70">
        <f t="shared" si="74"/>
        <v>44285.899999999994</v>
      </c>
      <c r="J363" s="70">
        <f>J364+J370</f>
        <v>134</v>
      </c>
      <c r="K363" s="87">
        <f t="shared" si="75"/>
        <v>44419.899999999994</v>
      </c>
      <c r="L363" s="13">
        <f>L364+L370</f>
        <v>-61.9</v>
      </c>
      <c r="M363" s="87">
        <f aca="true" t="shared" si="85" ref="M363:M435">K363+L363</f>
        <v>44357.99999999999</v>
      </c>
      <c r="N363" s="13">
        <f>N364+N370</f>
        <v>34.9</v>
      </c>
      <c r="O363" s="87">
        <f aca="true" t="shared" si="86" ref="O363:O435">M363+N363</f>
        <v>44392.899999999994</v>
      </c>
      <c r="P363" s="13">
        <f>P364+P370</f>
        <v>0</v>
      </c>
      <c r="Q363" s="87">
        <f t="shared" si="84"/>
        <v>44392.899999999994</v>
      </c>
      <c r="R363" s="13">
        <f>R364+R370</f>
        <v>4108.8</v>
      </c>
      <c r="S363" s="87">
        <f t="shared" si="82"/>
        <v>48501.7</v>
      </c>
    </row>
    <row r="364" spans="1:19" ht="33">
      <c r="A364" s="62" t="str">
        <f ca="1">IF(ISERROR(MATCH(E364,Код_КЦСР,0)),"",INDIRECT(ADDRESS(MATCH(E364,Код_КЦСР,0)+1,2,,,"КЦСР")))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64" s="115">
        <v>801</v>
      </c>
      <c r="C364" s="8" t="s">
        <v>204</v>
      </c>
      <c r="D364" s="8" t="s">
        <v>222</v>
      </c>
      <c r="E364" s="115" t="s">
        <v>81</v>
      </c>
      <c r="F364" s="115"/>
      <c r="G364" s="70"/>
      <c r="H364" s="70"/>
      <c r="I364" s="70"/>
      <c r="J364" s="70">
        <f>J365</f>
        <v>7.5</v>
      </c>
      <c r="K364" s="87">
        <f t="shared" si="75"/>
        <v>7.5</v>
      </c>
      <c r="L364" s="13">
        <f>L365</f>
        <v>0</v>
      </c>
      <c r="M364" s="87">
        <f t="shared" si="85"/>
        <v>7.5</v>
      </c>
      <c r="N364" s="13">
        <f>N365</f>
        <v>0</v>
      </c>
      <c r="O364" s="87">
        <f t="shared" si="86"/>
        <v>7.5</v>
      </c>
      <c r="P364" s="13">
        <f>P365</f>
        <v>0</v>
      </c>
      <c r="Q364" s="87">
        <f t="shared" si="84"/>
        <v>7.5</v>
      </c>
      <c r="R364" s="13">
        <f>R365</f>
        <v>0</v>
      </c>
      <c r="S364" s="87">
        <f t="shared" si="82"/>
        <v>7.5</v>
      </c>
    </row>
    <row r="365" spans="1:19" ht="24.75" customHeight="1">
      <c r="A365" s="62" t="str">
        <f ca="1">IF(ISERROR(MATCH(E365,Код_КЦСР,0)),"",INDIRECT(ADDRESS(MATCH(E365,Код_КЦСР,0)+1,2,,,"КЦСР")))</f>
        <v>Обеспечение пожарной безопасности муниципальных учреждений города</v>
      </c>
      <c r="B365" s="115">
        <v>801</v>
      </c>
      <c r="C365" s="8" t="s">
        <v>204</v>
      </c>
      <c r="D365" s="8" t="s">
        <v>222</v>
      </c>
      <c r="E365" s="115" t="s">
        <v>83</v>
      </c>
      <c r="F365" s="115"/>
      <c r="G365" s="70"/>
      <c r="H365" s="70"/>
      <c r="I365" s="70"/>
      <c r="J365" s="70">
        <f>J366</f>
        <v>7.5</v>
      </c>
      <c r="K365" s="87">
        <f t="shared" si="75"/>
        <v>7.5</v>
      </c>
      <c r="L365" s="13">
        <f>L366</f>
        <v>0</v>
      </c>
      <c r="M365" s="87">
        <f t="shared" si="85"/>
        <v>7.5</v>
      </c>
      <c r="N365" s="13">
        <f>N366</f>
        <v>0</v>
      </c>
      <c r="O365" s="87">
        <f t="shared" si="86"/>
        <v>7.5</v>
      </c>
      <c r="P365" s="13">
        <f>P366</f>
        <v>0</v>
      </c>
      <c r="Q365" s="87">
        <f t="shared" si="84"/>
        <v>7.5</v>
      </c>
      <c r="R365" s="13">
        <f>R366</f>
        <v>0</v>
      </c>
      <c r="S365" s="87">
        <f t="shared" si="82"/>
        <v>7.5</v>
      </c>
    </row>
    <row r="366" spans="1:19" ht="49.5">
      <c r="A366" s="62" t="str">
        <f ca="1">IF(ISERROR(MATCH(E366,Код_КЦСР,0)),"",INDIRECT(ADDRESS(MATCH(E366,Код_КЦСР,0)+1,2,,,"КЦСР")))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66" s="115">
        <v>801</v>
      </c>
      <c r="C366" s="8" t="s">
        <v>204</v>
      </c>
      <c r="D366" s="8" t="s">
        <v>222</v>
      </c>
      <c r="E366" s="115" t="s">
        <v>85</v>
      </c>
      <c r="F366" s="115"/>
      <c r="G366" s="70"/>
      <c r="H366" s="70"/>
      <c r="I366" s="70"/>
      <c r="J366" s="70">
        <f>J367</f>
        <v>7.5</v>
      </c>
      <c r="K366" s="87">
        <f t="shared" si="75"/>
        <v>7.5</v>
      </c>
      <c r="L366" s="13">
        <f>L367</f>
        <v>0</v>
      </c>
      <c r="M366" s="87">
        <f t="shared" si="85"/>
        <v>7.5</v>
      </c>
      <c r="N366" s="13">
        <f>N367</f>
        <v>0</v>
      </c>
      <c r="O366" s="87">
        <f t="shared" si="86"/>
        <v>7.5</v>
      </c>
      <c r="P366" s="13">
        <f>P367</f>
        <v>0</v>
      </c>
      <c r="Q366" s="87">
        <f t="shared" si="84"/>
        <v>7.5</v>
      </c>
      <c r="R366" s="13">
        <f>R367</f>
        <v>0</v>
      </c>
      <c r="S366" s="87">
        <f t="shared" si="82"/>
        <v>7.5</v>
      </c>
    </row>
    <row r="367" spans="1:19" ht="12.75">
      <c r="A367" s="62" t="str">
        <f aca="true" t="shared" si="87" ref="A367:A369">IF(ISERROR(MATCH(F367,Код_КВР,0)),"",INDIRECT(ADDRESS(MATCH(F367,Код_КВР,0)+1,2,,,"КВР")))</f>
        <v>Закупка товаров, работ и услуг для муниципальных нужд</v>
      </c>
      <c r="B367" s="115">
        <v>801</v>
      </c>
      <c r="C367" s="8" t="s">
        <v>204</v>
      </c>
      <c r="D367" s="8" t="s">
        <v>222</v>
      </c>
      <c r="E367" s="115" t="s">
        <v>85</v>
      </c>
      <c r="F367" s="115">
        <v>200</v>
      </c>
      <c r="G367" s="70"/>
      <c r="H367" s="70"/>
      <c r="I367" s="70"/>
      <c r="J367" s="70">
        <f>J368</f>
        <v>7.5</v>
      </c>
      <c r="K367" s="87">
        <f t="shared" si="75"/>
        <v>7.5</v>
      </c>
      <c r="L367" s="13">
        <f>L368</f>
        <v>0</v>
      </c>
      <c r="M367" s="87">
        <f t="shared" si="85"/>
        <v>7.5</v>
      </c>
      <c r="N367" s="13">
        <f>N368</f>
        <v>0</v>
      </c>
      <c r="O367" s="87">
        <f t="shared" si="86"/>
        <v>7.5</v>
      </c>
      <c r="P367" s="13">
        <f>P368</f>
        <v>0</v>
      </c>
      <c r="Q367" s="87">
        <f t="shared" si="84"/>
        <v>7.5</v>
      </c>
      <c r="R367" s="13">
        <f>R368</f>
        <v>0</v>
      </c>
      <c r="S367" s="87">
        <f t="shared" si="82"/>
        <v>7.5</v>
      </c>
    </row>
    <row r="368" spans="1:19" ht="33">
      <c r="A368" s="62" t="str">
        <f ca="1" t="shared" si="87"/>
        <v>Иные закупки товаров, работ и услуг для обеспечения муниципальных нужд</v>
      </c>
      <c r="B368" s="115">
        <v>801</v>
      </c>
      <c r="C368" s="8" t="s">
        <v>204</v>
      </c>
      <c r="D368" s="8" t="s">
        <v>222</v>
      </c>
      <c r="E368" s="115" t="s">
        <v>85</v>
      </c>
      <c r="F368" s="115">
        <v>240</v>
      </c>
      <c r="G368" s="70"/>
      <c r="H368" s="70"/>
      <c r="I368" s="70"/>
      <c r="J368" s="70">
        <f>J369</f>
        <v>7.5</v>
      </c>
      <c r="K368" s="87">
        <f t="shared" si="75"/>
        <v>7.5</v>
      </c>
      <c r="L368" s="13">
        <f>L369</f>
        <v>0</v>
      </c>
      <c r="M368" s="87">
        <f t="shared" si="85"/>
        <v>7.5</v>
      </c>
      <c r="N368" s="13">
        <f>N369</f>
        <v>0</v>
      </c>
      <c r="O368" s="87">
        <f t="shared" si="86"/>
        <v>7.5</v>
      </c>
      <c r="P368" s="13">
        <f>P369</f>
        <v>0</v>
      </c>
      <c r="Q368" s="87">
        <f t="shared" si="84"/>
        <v>7.5</v>
      </c>
      <c r="R368" s="13">
        <f>R369</f>
        <v>0</v>
      </c>
      <c r="S368" s="87">
        <f t="shared" si="82"/>
        <v>7.5</v>
      </c>
    </row>
    <row r="369" spans="1:19" ht="33">
      <c r="A369" s="62" t="str">
        <f ca="1" t="shared" si="87"/>
        <v xml:space="preserve">Прочая закупка товаров, работ и услуг для обеспечения муниципальных нужд         </v>
      </c>
      <c r="B369" s="115">
        <v>801</v>
      </c>
      <c r="C369" s="8" t="s">
        <v>204</v>
      </c>
      <c r="D369" s="8" t="s">
        <v>222</v>
      </c>
      <c r="E369" s="115" t="s">
        <v>85</v>
      </c>
      <c r="F369" s="115">
        <v>244</v>
      </c>
      <c r="G369" s="70"/>
      <c r="H369" s="70"/>
      <c r="I369" s="70"/>
      <c r="J369" s="70">
        <v>7.5</v>
      </c>
      <c r="K369" s="87">
        <f t="shared" si="75"/>
        <v>7.5</v>
      </c>
      <c r="L369" s="13"/>
      <c r="M369" s="87">
        <f t="shared" si="85"/>
        <v>7.5</v>
      </c>
      <c r="N369" s="13"/>
      <c r="O369" s="87">
        <f t="shared" si="86"/>
        <v>7.5</v>
      </c>
      <c r="P369" s="13"/>
      <c r="Q369" s="87">
        <f t="shared" si="84"/>
        <v>7.5</v>
      </c>
      <c r="R369" s="13"/>
      <c r="S369" s="87">
        <f t="shared" si="82"/>
        <v>7.5</v>
      </c>
    </row>
    <row r="370" spans="1:19" ht="33">
      <c r="A370" s="62" t="str">
        <f ca="1">IF(ISERROR(MATCH(E370,Код_КЦСР,0)),"",INDIRECT(ADDRESS(MATCH(E370,Код_КЦСР,0)+1,2,,,"КЦСР")))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70" s="115">
        <v>801</v>
      </c>
      <c r="C370" s="8" t="s">
        <v>204</v>
      </c>
      <c r="D370" s="8" t="s">
        <v>222</v>
      </c>
      <c r="E370" s="115" t="s">
        <v>144</v>
      </c>
      <c r="F370" s="115"/>
      <c r="G370" s="70">
        <f>G371+G381</f>
        <v>44285.899999999994</v>
      </c>
      <c r="H370" s="70">
        <f>H371+H381</f>
        <v>0</v>
      </c>
      <c r="I370" s="70">
        <f t="shared" si="74"/>
        <v>44285.899999999994</v>
      </c>
      <c r="J370" s="70">
        <f>J371+J381</f>
        <v>126.5</v>
      </c>
      <c r="K370" s="87">
        <f t="shared" si="75"/>
        <v>44412.399999999994</v>
      </c>
      <c r="L370" s="13">
        <f>L371+L381</f>
        <v>-61.9</v>
      </c>
      <c r="M370" s="87">
        <f t="shared" si="85"/>
        <v>44350.49999999999</v>
      </c>
      <c r="N370" s="13">
        <f>N371+N381</f>
        <v>34.9</v>
      </c>
      <c r="O370" s="87">
        <f t="shared" si="86"/>
        <v>44385.399999999994</v>
      </c>
      <c r="P370" s="13">
        <f>P371+P381</f>
        <v>0</v>
      </c>
      <c r="Q370" s="87">
        <f t="shared" si="84"/>
        <v>44385.399999999994</v>
      </c>
      <c r="R370" s="13">
        <f>R371+R381</f>
        <v>4108.8</v>
      </c>
      <c r="S370" s="87">
        <f t="shared" si="82"/>
        <v>48494.2</v>
      </c>
    </row>
    <row r="371" spans="1:19" ht="49.5">
      <c r="A371" s="62" t="str">
        <f ca="1">IF(ISERROR(MATCH(E371,Код_КЦСР,0)),"",INDIRECT(ADDRESS(MATCH(E371,Код_КЦСР,0)+1,2,,,"КЦСР")))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71" s="115">
        <v>801</v>
      </c>
      <c r="C371" s="8" t="s">
        <v>204</v>
      </c>
      <c r="D371" s="8" t="s">
        <v>222</v>
      </c>
      <c r="E371" s="115" t="s">
        <v>154</v>
      </c>
      <c r="F371" s="115"/>
      <c r="G371" s="70">
        <f>G372+G374+G377</f>
        <v>23381.1</v>
      </c>
      <c r="H371" s="70">
        <f>H372+H374+H377</f>
        <v>0</v>
      </c>
      <c r="I371" s="70">
        <f t="shared" si="74"/>
        <v>23381.1</v>
      </c>
      <c r="J371" s="70">
        <f>J372+J374+J377</f>
        <v>126.5</v>
      </c>
      <c r="K371" s="87">
        <f t="shared" si="75"/>
        <v>23507.6</v>
      </c>
      <c r="L371" s="13">
        <f>L372+L374+L377</f>
        <v>-61.9</v>
      </c>
      <c r="M371" s="87">
        <f t="shared" si="85"/>
        <v>23445.699999999997</v>
      </c>
      <c r="N371" s="13">
        <f>N372+N374+N377</f>
        <v>34.9</v>
      </c>
      <c r="O371" s="87">
        <f t="shared" si="86"/>
        <v>23480.6</v>
      </c>
      <c r="P371" s="13">
        <f>P372+P374+P377</f>
        <v>0</v>
      </c>
      <c r="Q371" s="87">
        <f t="shared" si="84"/>
        <v>23480.6</v>
      </c>
      <c r="R371" s="13">
        <f>R372+R374+R377</f>
        <v>1063.4</v>
      </c>
      <c r="S371" s="87">
        <f t="shared" si="82"/>
        <v>24544</v>
      </c>
    </row>
    <row r="372" spans="1:19" ht="33">
      <c r="A372" s="62" t="str">
        <f aca="true" t="shared" si="88" ref="A372:A378">IF(ISERROR(MATCH(F372,Код_КВР,0)),"",INDIRECT(ADDRESS(MATCH(F372,Код_КВР,0)+1,2,,,"КВР")))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2" s="115">
        <v>801</v>
      </c>
      <c r="C372" s="8" t="s">
        <v>204</v>
      </c>
      <c r="D372" s="8" t="s">
        <v>222</v>
      </c>
      <c r="E372" s="115" t="s">
        <v>154</v>
      </c>
      <c r="F372" s="115">
        <v>100</v>
      </c>
      <c r="G372" s="70">
        <f>G373</f>
        <v>19202.6</v>
      </c>
      <c r="H372" s="70">
        <f>H373</f>
        <v>0</v>
      </c>
      <c r="I372" s="70">
        <f t="shared" si="74"/>
        <v>19202.6</v>
      </c>
      <c r="J372" s="70">
        <f>J373</f>
        <v>0</v>
      </c>
      <c r="K372" s="87">
        <f t="shared" si="75"/>
        <v>19202.6</v>
      </c>
      <c r="L372" s="13">
        <f>L373</f>
        <v>0</v>
      </c>
      <c r="M372" s="87">
        <f t="shared" si="85"/>
        <v>19202.6</v>
      </c>
      <c r="N372" s="13">
        <f>N373</f>
        <v>0</v>
      </c>
      <c r="O372" s="87">
        <f t="shared" si="86"/>
        <v>19202.6</v>
      </c>
      <c r="P372" s="13">
        <f>P373</f>
        <v>0</v>
      </c>
      <c r="Q372" s="87">
        <f t="shared" si="84"/>
        <v>19202.6</v>
      </c>
      <c r="R372" s="13">
        <f>R373</f>
        <v>0</v>
      </c>
      <c r="S372" s="87">
        <f t="shared" si="82"/>
        <v>19202.6</v>
      </c>
    </row>
    <row r="373" spans="1:19" ht="12.75">
      <c r="A373" s="62" t="str">
        <f ca="1" t="shared" si="88"/>
        <v>Расходы на выплаты персоналу казенных учреждений</v>
      </c>
      <c r="B373" s="115">
        <v>801</v>
      </c>
      <c r="C373" s="8" t="s">
        <v>204</v>
      </c>
      <c r="D373" s="8" t="s">
        <v>222</v>
      </c>
      <c r="E373" s="115" t="s">
        <v>154</v>
      </c>
      <c r="F373" s="115">
        <v>110</v>
      </c>
      <c r="G373" s="70">
        <v>19202.6</v>
      </c>
      <c r="H373" s="70"/>
      <c r="I373" s="70">
        <f t="shared" si="74"/>
        <v>19202.6</v>
      </c>
      <c r="J373" s="70"/>
      <c r="K373" s="87">
        <f t="shared" si="75"/>
        <v>19202.6</v>
      </c>
      <c r="L373" s="13"/>
      <c r="M373" s="87">
        <f t="shared" si="85"/>
        <v>19202.6</v>
      </c>
      <c r="N373" s="13"/>
      <c r="O373" s="87">
        <f t="shared" si="86"/>
        <v>19202.6</v>
      </c>
      <c r="P373" s="13"/>
      <c r="Q373" s="87">
        <f t="shared" si="84"/>
        <v>19202.6</v>
      </c>
      <c r="R373" s="13"/>
      <c r="S373" s="87">
        <f t="shared" si="82"/>
        <v>19202.6</v>
      </c>
    </row>
    <row r="374" spans="1:19" ht="12.75">
      <c r="A374" s="97" t="str">
        <f ca="1" t="shared" si="88"/>
        <v>Закупка товаров, работ и услуг для муниципальных нужд</v>
      </c>
      <c r="B374" s="96">
        <v>801</v>
      </c>
      <c r="C374" s="99" t="s">
        <v>204</v>
      </c>
      <c r="D374" s="99" t="s">
        <v>222</v>
      </c>
      <c r="E374" s="96" t="s">
        <v>154</v>
      </c>
      <c r="F374" s="96">
        <v>200</v>
      </c>
      <c r="G374" s="105">
        <f>G375</f>
        <v>4028.5</v>
      </c>
      <c r="H374" s="105">
        <f>H375</f>
        <v>0</v>
      </c>
      <c r="I374" s="105">
        <f t="shared" si="74"/>
        <v>4028.5</v>
      </c>
      <c r="J374" s="105">
        <f>J375</f>
        <v>124.5</v>
      </c>
      <c r="K374" s="106">
        <f t="shared" si="75"/>
        <v>4153</v>
      </c>
      <c r="L374" s="107">
        <f>L375</f>
        <v>-61.9</v>
      </c>
      <c r="M374" s="106">
        <f t="shared" si="85"/>
        <v>4091.1</v>
      </c>
      <c r="N374" s="107">
        <f>N375</f>
        <v>30.099999999999998</v>
      </c>
      <c r="O374" s="106">
        <f t="shared" si="86"/>
        <v>4121.2</v>
      </c>
      <c r="P374" s="107">
        <f>P375</f>
        <v>-18</v>
      </c>
      <c r="Q374" s="87">
        <f t="shared" si="84"/>
        <v>4103.2</v>
      </c>
      <c r="R374" s="107">
        <f>R375</f>
        <v>1063.4</v>
      </c>
      <c r="S374" s="87">
        <f t="shared" si="82"/>
        <v>5166.6</v>
      </c>
    </row>
    <row r="375" spans="1:19" ht="33">
      <c r="A375" s="97" t="str">
        <f ca="1" t="shared" si="88"/>
        <v>Иные закупки товаров, работ и услуг для обеспечения муниципальных нужд</v>
      </c>
      <c r="B375" s="96">
        <v>801</v>
      </c>
      <c r="C375" s="99" t="s">
        <v>204</v>
      </c>
      <c r="D375" s="99" t="s">
        <v>222</v>
      </c>
      <c r="E375" s="96" t="s">
        <v>154</v>
      </c>
      <c r="F375" s="96">
        <v>240</v>
      </c>
      <c r="G375" s="105">
        <f>G376</f>
        <v>4028.5</v>
      </c>
      <c r="H375" s="108"/>
      <c r="I375" s="105">
        <f t="shared" si="74"/>
        <v>4028.5</v>
      </c>
      <c r="J375" s="108">
        <f>J376</f>
        <v>124.5</v>
      </c>
      <c r="K375" s="106">
        <f t="shared" si="75"/>
        <v>4153</v>
      </c>
      <c r="L375" s="106">
        <f>L376</f>
        <v>-61.9</v>
      </c>
      <c r="M375" s="106">
        <f t="shared" si="85"/>
        <v>4091.1</v>
      </c>
      <c r="N375" s="106">
        <f>N376</f>
        <v>30.099999999999998</v>
      </c>
      <c r="O375" s="106">
        <f t="shared" si="86"/>
        <v>4121.2</v>
      </c>
      <c r="P375" s="106">
        <f>P376</f>
        <v>-18</v>
      </c>
      <c r="Q375" s="87">
        <f t="shared" si="84"/>
        <v>4103.2</v>
      </c>
      <c r="R375" s="106">
        <f>R376</f>
        <v>1063.4</v>
      </c>
      <c r="S375" s="87">
        <f t="shared" si="82"/>
        <v>5166.6</v>
      </c>
    </row>
    <row r="376" spans="1:19" ht="33">
      <c r="A376" s="97" t="str">
        <f ca="1" t="shared" si="88"/>
        <v xml:space="preserve">Прочая закупка товаров, работ и услуг для обеспечения муниципальных нужд         </v>
      </c>
      <c r="B376" s="96">
        <v>801</v>
      </c>
      <c r="C376" s="99" t="s">
        <v>204</v>
      </c>
      <c r="D376" s="99" t="s">
        <v>222</v>
      </c>
      <c r="E376" s="96" t="s">
        <v>154</v>
      </c>
      <c r="F376" s="96">
        <v>244</v>
      </c>
      <c r="G376" s="105">
        <v>4028.5</v>
      </c>
      <c r="H376" s="108"/>
      <c r="I376" s="105">
        <f t="shared" si="74"/>
        <v>4028.5</v>
      </c>
      <c r="J376" s="108">
        <f>134-7.5-2</f>
        <v>124.5</v>
      </c>
      <c r="K376" s="106">
        <f t="shared" si="75"/>
        <v>4153</v>
      </c>
      <c r="L376" s="106">
        <f>-3.9-58</f>
        <v>-61.9</v>
      </c>
      <c r="M376" s="106">
        <f t="shared" si="85"/>
        <v>4091.1</v>
      </c>
      <c r="N376" s="106">
        <f>34.9-4.8</f>
        <v>30.099999999999998</v>
      </c>
      <c r="O376" s="106">
        <f t="shared" si="86"/>
        <v>4121.2</v>
      </c>
      <c r="P376" s="106">
        <f>-6-12</f>
        <v>-18</v>
      </c>
      <c r="Q376" s="87">
        <f t="shared" si="84"/>
        <v>4103.2</v>
      </c>
      <c r="R376" s="106">
        <f>363.4+700</f>
        <v>1063.4</v>
      </c>
      <c r="S376" s="87">
        <f t="shared" si="82"/>
        <v>5166.6</v>
      </c>
    </row>
    <row r="377" spans="1:19" ht="12.75">
      <c r="A377" s="97" t="str">
        <f ca="1" t="shared" si="88"/>
        <v>Иные бюджетные ассигнования</v>
      </c>
      <c r="B377" s="96">
        <v>801</v>
      </c>
      <c r="C377" s="99" t="s">
        <v>204</v>
      </c>
      <c r="D377" s="99" t="s">
        <v>222</v>
      </c>
      <c r="E377" s="96" t="s">
        <v>154</v>
      </c>
      <c r="F377" s="96">
        <v>800</v>
      </c>
      <c r="G377" s="105">
        <f>G378</f>
        <v>150</v>
      </c>
      <c r="H377" s="105">
        <f>H378</f>
        <v>0</v>
      </c>
      <c r="I377" s="105">
        <f t="shared" si="74"/>
        <v>150</v>
      </c>
      <c r="J377" s="105">
        <f>J378</f>
        <v>2</v>
      </c>
      <c r="K377" s="106">
        <f t="shared" si="75"/>
        <v>152</v>
      </c>
      <c r="L377" s="107">
        <f>L378</f>
        <v>0</v>
      </c>
      <c r="M377" s="106">
        <f t="shared" si="85"/>
        <v>152</v>
      </c>
      <c r="N377" s="107">
        <f>N378</f>
        <v>4.8</v>
      </c>
      <c r="O377" s="106">
        <f t="shared" si="86"/>
        <v>156.8</v>
      </c>
      <c r="P377" s="107">
        <f>P378</f>
        <v>18</v>
      </c>
      <c r="Q377" s="87">
        <f t="shared" si="84"/>
        <v>174.8</v>
      </c>
      <c r="R377" s="107">
        <f>R378</f>
        <v>0</v>
      </c>
      <c r="S377" s="87">
        <f t="shared" si="82"/>
        <v>174.8</v>
      </c>
    </row>
    <row r="378" spans="1:19" ht="12.75">
      <c r="A378" s="97" t="str">
        <f ca="1" t="shared" si="88"/>
        <v>Уплата налогов, сборов и иных платежей</v>
      </c>
      <c r="B378" s="96">
        <v>801</v>
      </c>
      <c r="C378" s="99" t="s">
        <v>204</v>
      </c>
      <c r="D378" s="99" t="s">
        <v>222</v>
      </c>
      <c r="E378" s="96" t="s">
        <v>154</v>
      </c>
      <c r="F378" s="96">
        <v>850</v>
      </c>
      <c r="G378" s="105">
        <f>SUM(G379:G380)</f>
        <v>150</v>
      </c>
      <c r="H378" s="105">
        <f>SUM(H379:H380)</f>
        <v>0</v>
      </c>
      <c r="I378" s="105">
        <f t="shared" si="74"/>
        <v>150</v>
      </c>
      <c r="J378" s="105">
        <f>SUM(J379:J380)</f>
        <v>2</v>
      </c>
      <c r="K378" s="106">
        <f t="shared" si="75"/>
        <v>152</v>
      </c>
      <c r="L378" s="107">
        <f>SUM(L379:L380)</f>
        <v>0</v>
      </c>
      <c r="M378" s="106">
        <f t="shared" si="85"/>
        <v>152</v>
      </c>
      <c r="N378" s="107">
        <f>SUM(N379:N380)</f>
        <v>4.8</v>
      </c>
      <c r="O378" s="106">
        <f t="shared" si="86"/>
        <v>156.8</v>
      </c>
      <c r="P378" s="107">
        <f>SUM(P379:P380)</f>
        <v>18</v>
      </c>
      <c r="Q378" s="87">
        <f t="shared" si="84"/>
        <v>174.8</v>
      </c>
      <c r="R378" s="107">
        <f>SUM(R379:R380)</f>
        <v>0</v>
      </c>
      <c r="S378" s="87">
        <f t="shared" si="82"/>
        <v>174.8</v>
      </c>
    </row>
    <row r="379" spans="1:19" ht="12.75">
      <c r="A379" s="97" t="str">
        <f ca="1">IF(ISERROR(MATCH(F379,Код_КВР,0)),"",INDIRECT(ADDRESS(MATCH(F379,Код_КВР,0)+1,2,,,"КВР")))</f>
        <v>Уплата налога на имущество организаций и земельного налога</v>
      </c>
      <c r="B379" s="96">
        <v>801</v>
      </c>
      <c r="C379" s="99" t="s">
        <v>204</v>
      </c>
      <c r="D379" s="99" t="s">
        <v>222</v>
      </c>
      <c r="E379" s="96" t="s">
        <v>154</v>
      </c>
      <c r="F379" s="96">
        <v>851</v>
      </c>
      <c r="G379" s="105">
        <v>142</v>
      </c>
      <c r="H379" s="108"/>
      <c r="I379" s="105">
        <f t="shared" si="74"/>
        <v>142</v>
      </c>
      <c r="J379" s="108"/>
      <c r="K379" s="106">
        <f t="shared" si="75"/>
        <v>142</v>
      </c>
      <c r="L379" s="106"/>
      <c r="M379" s="106">
        <f t="shared" si="85"/>
        <v>142</v>
      </c>
      <c r="N379" s="106"/>
      <c r="O379" s="106">
        <f t="shared" si="86"/>
        <v>142</v>
      </c>
      <c r="P379" s="106"/>
      <c r="Q379" s="87">
        <f t="shared" si="84"/>
        <v>142</v>
      </c>
      <c r="R379" s="106"/>
      <c r="S379" s="87">
        <f t="shared" si="82"/>
        <v>142</v>
      </c>
    </row>
    <row r="380" spans="1:19" ht="12.75">
      <c r="A380" s="97" t="str">
        <f ca="1">IF(ISERROR(MATCH(F380,Код_КВР,0)),"",INDIRECT(ADDRESS(MATCH(F380,Код_КВР,0)+1,2,,,"КВР")))</f>
        <v>Уплата прочих налогов, сборов и иных платежей</v>
      </c>
      <c r="B380" s="96">
        <v>801</v>
      </c>
      <c r="C380" s="99" t="s">
        <v>204</v>
      </c>
      <c r="D380" s="99" t="s">
        <v>222</v>
      </c>
      <c r="E380" s="96" t="s">
        <v>154</v>
      </c>
      <c r="F380" s="96">
        <v>852</v>
      </c>
      <c r="G380" s="105">
        <v>8</v>
      </c>
      <c r="H380" s="108"/>
      <c r="I380" s="105">
        <f t="shared" si="74"/>
        <v>8</v>
      </c>
      <c r="J380" s="108">
        <v>2</v>
      </c>
      <c r="K380" s="106">
        <f t="shared" si="75"/>
        <v>10</v>
      </c>
      <c r="L380" s="106"/>
      <c r="M380" s="106">
        <f t="shared" si="85"/>
        <v>10</v>
      </c>
      <c r="N380" s="106">
        <v>4.8</v>
      </c>
      <c r="O380" s="106">
        <f t="shared" si="86"/>
        <v>14.8</v>
      </c>
      <c r="P380" s="106">
        <f>6+12</f>
        <v>18</v>
      </c>
      <c r="Q380" s="87">
        <f t="shared" si="84"/>
        <v>32.8</v>
      </c>
      <c r="R380" s="106"/>
      <c r="S380" s="87">
        <f t="shared" si="82"/>
        <v>32.8</v>
      </c>
    </row>
    <row r="381" spans="1:19" ht="49.5">
      <c r="A381" s="62" t="str">
        <f ca="1">IF(ISERROR(MATCH(E381,Код_КЦСР,0)),"",INDIRECT(ADDRESS(MATCH(E381,Код_КЦСР,0)+1,2,,,"КЦСР")))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81" s="115">
        <v>801</v>
      </c>
      <c r="C381" s="8" t="s">
        <v>204</v>
      </c>
      <c r="D381" s="8" t="s">
        <v>222</v>
      </c>
      <c r="E381" s="115" t="s">
        <v>156</v>
      </c>
      <c r="F381" s="115"/>
      <c r="G381" s="70">
        <f aca="true" t="shared" si="89" ref="G381:R383">G382</f>
        <v>20904.8</v>
      </c>
      <c r="H381" s="70">
        <f t="shared" si="89"/>
        <v>0</v>
      </c>
      <c r="I381" s="70">
        <f t="shared" si="74"/>
        <v>20904.8</v>
      </c>
      <c r="J381" s="70">
        <f t="shared" si="89"/>
        <v>0</v>
      </c>
      <c r="K381" s="87">
        <f t="shared" si="75"/>
        <v>20904.8</v>
      </c>
      <c r="L381" s="13">
        <f t="shared" si="89"/>
        <v>0</v>
      </c>
      <c r="M381" s="87">
        <f t="shared" si="85"/>
        <v>20904.8</v>
      </c>
      <c r="N381" s="13">
        <f t="shared" si="89"/>
        <v>0</v>
      </c>
      <c r="O381" s="87">
        <f t="shared" si="86"/>
        <v>20904.8</v>
      </c>
      <c r="P381" s="13">
        <f t="shared" si="89"/>
        <v>0</v>
      </c>
      <c r="Q381" s="87">
        <f t="shared" si="84"/>
        <v>20904.8</v>
      </c>
      <c r="R381" s="13">
        <f t="shared" si="89"/>
        <v>3045.4</v>
      </c>
      <c r="S381" s="87">
        <f t="shared" si="82"/>
        <v>23950.2</v>
      </c>
    </row>
    <row r="382" spans="1:19" ht="12.75">
      <c r="A382" s="62" t="str">
        <f ca="1">IF(ISERROR(MATCH(F382,Код_КВР,0)),"",INDIRECT(ADDRESS(MATCH(F382,Код_КВР,0)+1,2,,,"КВР")))</f>
        <v>Закупка товаров, работ и услуг для муниципальных нужд</v>
      </c>
      <c r="B382" s="115">
        <v>801</v>
      </c>
      <c r="C382" s="8" t="s">
        <v>204</v>
      </c>
      <c r="D382" s="8" t="s">
        <v>222</v>
      </c>
      <c r="E382" s="115" t="s">
        <v>156</v>
      </c>
      <c r="F382" s="115">
        <v>200</v>
      </c>
      <c r="G382" s="70">
        <f t="shared" si="89"/>
        <v>20904.8</v>
      </c>
      <c r="H382" s="70">
        <f t="shared" si="89"/>
        <v>0</v>
      </c>
      <c r="I382" s="70">
        <f t="shared" si="74"/>
        <v>20904.8</v>
      </c>
      <c r="J382" s="70">
        <f t="shared" si="89"/>
        <v>0</v>
      </c>
      <c r="K382" s="87">
        <f t="shared" si="75"/>
        <v>20904.8</v>
      </c>
      <c r="L382" s="13">
        <f t="shared" si="89"/>
        <v>0</v>
      </c>
      <c r="M382" s="87">
        <f t="shared" si="85"/>
        <v>20904.8</v>
      </c>
      <c r="N382" s="13">
        <f t="shared" si="89"/>
        <v>0</v>
      </c>
      <c r="O382" s="87">
        <f t="shared" si="86"/>
        <v>20904.8</v>
      </c>
      <c r="P382" s="13">
        <f t="shared" si="89"/>
        <v>0</v>
      </c>
      <c r="Q382" s="87">
        <f t="shared" si="84"/>
        <v>20904.8</v>
      </c>
      <c r="R382" s="13">
        <f t="shared" si="89"/>
        <v>3045.4</v>
      </c>
      <c r="S382" s="87">
        <f t="shared" si="82"/>
        <v>23950.2</v>
      </c>
    </row>
    <row r="383" spans="1:19" ht="33">
      <c r="A383" s="62" t="str">
        <f ca="1">IF(ISERROR(MATCH(F383,Код_КВР,0)),"",INDIRECT(ADDRESS(MATCH(F383,Код_КВР,0)+1,2,,,"КВР")))</f>
        <v>Иные закупки товаров, работ и услуг для обеспечения муниципальных нужд</v>
      </c>
      <c r="B383" s="115">
        <v>801</v>
      </c>
      <c r="C383" s="8" t="s">
        <v>204</v>
      </c>
      <c r="D383" s="8" t="s">
        <v>222</v>
      </c>
      <c r="E383" s="115" t="s">
        <v>156</v>
      </c>
      <c r="F383" s="115">
        <v>240</v>
      </c>
      <c r="G383" s="70">
        <f t="shared" si="89"/>
        <v>20904.8</v>
      </c>
      <c r="H383" s="70">
        <f t="shared" si="89"/>
        <v>0</v>
      </c>
      <c r="I383" s="70">
        <f t="shared" si="74"/>
        <v>20904.8</v>
      </c>
      <c r="J383" s="70">
        <f t="shared" si="89"/>
        <v>0</v>
      </c>
      <c r="K383" s="87">
        <f t="shared" si="75"/>
        <v>20904.8</v>
      </c>
      <c r="L383" s="13">
        <f t="shared" si="89"/>
        <v>0</v>
      </c>
      <c r="M383" s="87">
        <f t="shared" si="85"/>
        <v>20904.8</v>
      </c>
      <c r="N383" s="13">
        <f t="shared" si="89"/>
        <v>0</v>
      </c>
      <c r="O383" s="87">
        <f t="shared" si="86"/>
        <v>20904.8</v>
      </c>
      <c r="P383" s="13">
        <f t="shared" si="89"/>
        <v>0</v>
      </c>
      <c r="Q383" s="87">
        <f t="shared" si="84"/>
        <v>20904.8</v>
      </c>
      <c r="R383" s="13">
        <f t="shared" si="89"/>
        <v>3045.4</v>
      </c>
      <c r="S383" s="87">
        <f t="shared" si="82"/>
        <v>23950.2</v>
      </c>
    </row>
    <row r="384" spans="1:19" ht="33">
      <c r="A384" s="62" t="str">
        <f ca="1">IF(ISERROR(MATCH(F384,Код_КВР,0)),"",INDIRECT(ADDRESS(MATCH(F384,Код_КВР,0)+1,2,,,"КВР")))</f>
        <v xml:space="preserve">Прочая закупка товаров, работ и услуг для обеспечения муниципальных нужд         </v>
      </c>
      <c r="B384" s="115">
        <v>801</v>
      </c>
      <c r="C384" s="8" t="s">
        <v>204</v>
      </c>
      <c r="D384" s="8" t="s">
        <v>222</v>
      </c>
      <c r="E384" s="115" t="s">
        <v>156</v>
      </c>
      <c r="F384" s="115">
        <v>244</v>
      </c>
      <c r="G384" s="70">
        <v>20904.8</v>
      </c>
      <c r="H384" s="65"/>
      <c r="I384" s="70">
        <f t="shared" si="74"/>
        <v>20904.8</v>
      </c>
      <c r="J384" s="65"/>
      <c r="K384" s="87">
        <f t="shared" si="75"/>
        <v>20904.8</v>
      </c>
      <c r="L384" s="87"/>
      <c r="M384" s="87">
        <f t="shared" si="85"/>
        <v>20904.8</v>
      </c>
      <c r="N384" s="87"/>
      <c r="O384" s="87">
        <f t="shared" si="86"/>
        <v>20904.8</v>
      </c>
      <c r="P384" s="87"/>
      <c r="Q384" s="87">
        <f t="shared" si="84"/>
        <v>20904.8</v>
      </c>
      <c r="R384" s="87">
        <v>3045.4</v>
      </c>
      <c r="S384" s="87">
        <f t="shared" si="82"/>
        <v>23950.2</v>
      </c>
    </row>
    <row r="385" spans="1:19" ht="12.75">
      <c r="A385" s="62" t="str">
        <f ca="1">IF(ISERROR(MATCH(B385,Код_ППП,0)),"",INDIRECT(ADDRESS(MATCH(B385,Код_ППП,0)+1,2,,,"ППП")))</f>
        <v>ЧЕРЕПОВЕЦКАЯ ГОРОДСКАЯ ДУМА</v>
      </c>
      <c r="B385" s="115">
        <v>802</v>
      </c>
      <c r="C385" s="8"/>
      <c r="D385" s="8"/>
      <c r="E385" s="115"/>
      <c r="F385" s="115"/>
      <c r="G385" s="70">
        <f aca="true" t="shared" si="90" ref="G385:H389">G386</f>
        <v>28887.4</v>
      </c>
      <c r="H385" s="70">
        <f t="shared" si="90"/>
        <v>0</v>
      </c>
      <c r="I385" s="70">
        <f t="shared" si="74"/>
        <v>28887.4</v>
      </c>
      <c r="J385" s="70">
        <f>J386</f>
        <v>-8530.4</v>
      </c>
      <c r="K385" s="87">
        <f t="shared" si="75"/>
        <v>20357</v>
      </c>
      <c r="L385" s="13">
        <f>L386</f>
        <v>0</v>
      </c>
      <c r="M385" s="87">
        <f t="shared" si="85"/>
        <v>20357</v>
      </c>
      <c r="N385" s="13">
        <f>N386</f>
        <v>0</v>
      </c>
      <c r="O385" s="87">
        <f t="shared" si="86"/>
        <v>20357</v>
      </c>
      <c r="P385" s="13">
        <f>P386</f>
        <v>0</v>
      </c>
      <c r="Q385" s="87">
        <f t="shared" si="84"/>
        <v>20357</v>
      </c>
      <c r="R385" s="13">
        <f>R386</f>
        <v>-209.8</v>
      </c>
      <c r="S385" s="87">
        <f t="shared" si="82"/>
        <v>20147.2</v>
      </c>
    </row>
    <row r="386" spans="1:19" ht="12.75">
      <c r="A386" s="62" t="str">
        <f ca="1">IF(ISERROR(MATCH(C386,Код_Раздел,0)),"",INDIRECT(ADDRESS(MATCH(C386,Код_Раздел,0)+1,2,,,"Раздел")))</f>
        <v>Общегосударственные  вопросы</v>
      </c>
      <c r="B386" s="115">
        <v>802</v>
      </c>
      <c r="C386" s="8" t="s">
        <v>221</v>
      </c>
      <c r="D386" s="8"/>
      <c r="E386" s="115"/>
      <c r="F386" s="115"/>
      <c r="G386" s="70">
        <f t="shared" si="90"/>
        <v>28887.4</v>
      </c>
      <c r="H386" s="70">
        <f t="shared" si="90"/>
        <v>0</v>
      </c>
      <c r="I386" s="70">
        <f t="shared" si="74"/>
        <v>28887.4</v>
      </c>
      <c r="J386" s="70">
        <f>J387</f>
        <v>-8530.4</v>
      </c>
      <c r="K386" s="87">
        <f t="shared" si="75"/>
        <v>20357</v>
      </c>
      <c r="L386" s="13">
        <f>L387</f>
        <v>0</v>
      </c>
      <c r="M386" s="87">
        <f t="shared" si="85"/>
        <v>20357</v>
      </c>
      <c r="N386" s="13">
        <f>N387</f>
        <v>0</v>
      </c>
      <c r="O386" s="87">
        <f t="shared" si="86"/>
        <v>20357</v>
      </c>
      <c r="P386" s="13">
        <f>P387</f>
        <v>0</v>
      </c>
      <c r="Q386" s="87">
        <f t="shared" si="84"/>
        <v>20357</v>
      </c>
      <c r="R386" s="13">
        <f>R387</f>
        <v>-209.8</v>
      </c>
      <c r="S386" s="87">
        <f t="shared" si="82"/>
        <v>20147.2</v>
      </c>
    </row>
    <row r="387" spans="1:19" ht="49.5">
      <c r="A387" s="12" t="s">
        <v>176</v>
      </c>
      <c r="B387" s="115">
        <v>802</v>
      </c>
      <c r="C387" s="8" t="s">
        <v>221</v>
      </c>
      <c r="D387" s="8" t="s">
        <v>223</v>
      </c>
      <c r="E387" s="115"/>
      <c r="F387" s="115"/>
      <c r="G387" s="70">
        <f t="shared" si="90"/>
        <v>28887.4</v>
      </c>
      <c r="H387" s="70">
        <f t="shared" si="90"/>
        <v>0</v>
      </c>
      <c r="I387" s="70">
        <f t="shared" si="74"/>
        <v>28887.4</v>
      </c>
      <c r="J387" s="70">
        <f>J388</f>
        <v>-8530.4</v>
      </c>
      <c r="K387" s="87">
        <f t="shared" si="75"/>
        <v>20357</v>
      </c>
      <c r="L387" s="13">
        <f>L388</f>
        <v>0</v>
      </c>
      <c r="M387" s="87">
        <f t="shared" si="85"/>
        <v>20357</v>
      </c>
      <c r="N387" s="13">
        <f>N388</f>
        <v>0</v>
      </c>
      <c r="O387" s="87">
        <f t="shared" si="86"/>
        <v>20357</v>
      </c>
      <c r="P387" s="13">
        <f>P388</f>
        <v>0</v>
      </c>
      <c r="Q387" s="87">
        <f t="shared" si="84"/>
        <v>20357</v>
      </c>
      <c r="R387" s="13">
        <f>R388</f>
        <v>-209.8</v>
      </c>
      <c r="S387" s="87">
        <f t="shared" si="82"/>
        <v>20147.2</v>
      </c>
    </row>
    <row r="388" spans="1:19" ht="33">
      <c r="A388" s="62" t="str">
        <f ca="1">IF(ISERROR(MATCH(E388,Код_КЦСР,0)),"",INDIRECT(ADDRESS(MATCH(E388,Код_КЦСР,0)+1,2,,,"КЦСР")))</f>
        <v>Непрограммные направления деятельности органов местного самоуправления</v>
      </c>
      <c r="B388" s="115">
        <v>802</v>
      </c>
      <c r="C388" s="8" t="s">
        <v>221</v>
      </c>
      <c r="D388" s="8" t="s">
        <v>223</v>
      </c>
      <c r="E388" s="115" t="s">
        <v>307</v>
      </c>
      <c r="F388" s="115"/>
      <c r="G388" s="70">
        <f t="shared" si="90"/>
        <v>28887.4</v>
      </c>
      <c r="H388" s="70">
        <f t="shared" si="90"/>
        <v>0</v>
      </c>
      <c r="I388" s="70">
        <f t="shared" si="74"/>
        <v>28887.4</v>
      </c>
      <c r="J388" s="70">
        <f>J389</f>
        <v>-8530.4</v>
      </c>
      <c r="K388" s="87">
        <f t="shared" si="75"/>
        <v>20357</v>
      </c>
      <c r="L388" s="13">
        <f>L389</f>
        <v>0</v>
      </c>
      <c r="M388" s="87">
        <f t="shared" si="85"/>
        <v>20357</v>
      </c>
      <c r="N388" s="13">
        <f>N389</f>
        <v>0</v>
      </c>
      <c r="O388" s="87">
        <f t="shared" si="86"/>
        <v>20357</v>
      </c>
      <c r="P388" s="13">
        <f>P389</f>
        <v>0</v>
      </c>
      <c r="Q388" s="87">
        <f t="shared" si="84"/>
        <v>20357</v>
      </c>
      <c r="R388" s="13">
        <f>R389</f>
        <v>-209.8</v>
      </c>
      <c r="S388" s="87">
        <f t="shared" si="82"/>
        <v>20147.2</v>
      </c>
    </row>
    <row r="389" spans="1:19" ht="12.75">
      <c r="A389" s="62" t="str">
        <f ca="1">IF(ISERROR(MATCH(E389,Код_КЦСР,0)),"",INDIRECT(ADDRESS(MATCH(E389,Код_КЦСР,0)+1,2,,,"КЦСР")))</f>
        <v>Расходы, не включенные в муниципальные программы города Череповца</v>
      </c>
      <c r="B389" s="115">
        <v>802</v>
      </c>
      <c r="C389" s="8" t="s">
        <v>221</v>
      </c>
      <c r="D389" s="8" t="s">
        <v>223</v>
      </c>
      <c r="E389" s="115" t="s">
        <v>309</v>
      </c>
      <c r="F389" s="115"/>
      <c r="G389" s="70">
        <f t="shared" si="90"/>
        <v>28887.4</v>
      </c>
      <c r="H389" s="70">
        <f t="shared" si="90"/>
        <v>0</v>
      </c>
      <c r="I389" s="70">
        <f t="shared" si="74"/>
        <v>28887.4</v>
      </c>
      <c r="J389" s="70">
        <f>J390</f>
        <v>-8530.4</v>
      </c>
      <c r="K389" s="87">
        <f t="shared" si="75"/>
        <v>20357</v>
      </c>
      <c r="L389" s="13">
        <f>L390</f>
        <v>0</v>
      </c>
      <c r="M389" s="87">
        <f t="shared" si="85"/>
        <v>20357</v>
      </c>
      <c r="N389" s="13">
        <f>N390</f>
        <v>0</v>
      </c>
      <c r="O389" s="87">
        <f t="shared" si="86"/>
        <v>20357</v>
      </c>
      <c r="P389" s="13">
        <f>P390</f>
        <v>0</v>
      </c>
      <c r="Q389" s="87">
        <f t="shared" si="84"/>
        <v>20357</v>
      </c>
      <c r="R389" s="13">
        <f>R390</f>
        <v>-209.8</v>
      </c>
      <c r="S389" s="87">
        <f t="shared" si="82"/>
        <v>20147.2</v>
      </c>
    </row>
    <row r="390" spans="1:19" ht="33">
      <c r="A390" s="62" t="str">
        <f ca="1">IF(ISERROR(MATCH(E390,Код_КЦСР,0)),"",INDIRECT(ADDRESS(MATCH(E390,Код_КЦСР,0)+1,2,,,"КЦСР")))</f>
        <v>Руководство и управление в сфере установленных функций органов местного самоуправления</v>
      </c>
      <c r="B390" s="115">
        <v>802</v>
      </c>
      <c r="C390" s="8" t="s">
        <v>221</v>
      </c>
      <c r="D390" s="8" t="s">
        <v>223</v>
      </c>
      <c r="E390" s="115" t="s">
        <v>311</v>
      </c>
      <c r="F390" s="115"/>
      <c r="G390" s="70">
        <f>G391+G401+G404</f>
        <v>28887.4</v>
      </c>
      <c r="H390" s="70">
        <f>H391+H401+H404</f>
        <v>0</v>
      </c>
      <c r="I390" s="70">
        <f aca="true" t="shared" si="91" ref="I390:I469">G390+H390</f>
        <v>28887.4</v>
      </c>
      <c r="J390" s="70">
        <f>J391+J401+J404</f>
        <v>-8530.4</v>
      </c>
      <c r="K390" s="87">
        <f aca="true" t="shared" si="92" ref="K390:K463">I390+J390</f>
        <v>20357</v>
      </c>
      <c r="L390" s="13">
        <f>L391+L401+L404</f>
        <v>0</v>
      </c>
      <c r="M390" s="87">
        <f t="shared" si="85"/>
        <v>20357</v>
      </c>
      <c r="N390" s="13">
        <f>N391+N401+N404</f>
        <v>0</v>
      </c>
      <c r="O390" s="87">
        <f t="shared" si="86"/>
        <v>20357</v>
      </c>
      <c r="P390" s="13">
        <f>P391+P401+P404</f>
        <v>0</v>
      </c>
      <c r="Q390" s="87">
        <f t="shared" si="84"/>
        <v>20357</v>
      </c>
      <c r="R390" s="13">
        <f>R391+R401+R404</f>
        <v>-209.8</v>
      </c>
      <c r="S390" s="87">
        <f t="shared" si="82"/>
        <v>20147.2</v>
      </c>
    </row>
    <row r="391" spans="1:19" ht="12.75">
      <c r="A391" s="62" t="str">
        <f ca="1">IF(ISERROR(MATCH(E391,Код_КЦСР,0)),"",INDIRECT(ADDRESS(MATCH(E391,Код_КЦСР,0)+1,2,,,"КЦСР")))</f>
        <v>Центральный аппарат</v>
      </c>
      <c r="B391" s="115">
        <v>802</v>
      </c>
      <c r="C391" s="8" t="s">
        <v>221</v>
      </c>
      <c r="D391" s="8" t="s">
        <v>223</v>
      </c>
      <c r="E391" s="115" t="s">
        <v>314</v>
      </c>
      <c r="F391" s="115"/>
      <c r="G391" s="70">
        <f>G392+G394+G397</f>
        <v>22979.500000000004</v>
      </c>
      <c r="H391" s="70">
        <f>H392+H394+H397</f>
        <v>0</v>
      </c>
      <c r="I391" s="70">
        <f t="shared" si="91"/>
        <v>22979.500000000004</v>
      </c>
      <c r="J391" s="70">
        <f>J392+J394+J397</f>
        <v>-8530.4</v>
      </c>
      <c r="K391" s="87">
        <f t="shared" si="92"/>
        <v>14449.100000000004</v>
      </c>
      <c r="L391" s="13">
        <f>L392+L394+L397</f>
        <v>0</v>
      </c>
      <c r="M391" s="87">
        <f t="shared" si="85"/>
        <v>14449.100000000004</v>
      </c>
      <c r="N391" s="13">
        <f>N392+N394+N397</f>
        <v>0</v>
      </c>
      <c r="O391" s="87">
        <f t="shared" si="86"/>
        <v>14449.100000000004</v>
      </c>
      <c r="P391" s="13">
        <f>P392+P394+P397</f>
        <v>0</v>
      </c>
      <c r="Q391" s="87">
        <f t="shared" si="84"/>
        <v>14449.100000000004</v>
      </c>
      <c r="R391" s="13">
        <f>R392+R394+R397</f>
        <v>-209.8</v>
      </c>
      <c r="S391" s="87">
        <f t="shared" si="82"/>
        <v>14239.300000000005</v>
      </c>
    </row>
    <row r="392" spans="1:19" ht="33">
      <c r="A392" s="62" t="str">
        <f aca="true" t="shared" si="93" ref="A392:A398">IF(ISERROR(MATCH(F392,Код_КВР,0)),"",INDIRECT(ADDRESS(MATCH(F392,Код_КВР,0)+1,2,,,"КВР")))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2" s="115">
        <v>802</v>
      </c>
      <c r="C392" s="8" t="s">
        <v>221</v>
      </c>
      <c r="D392" s="8" t="s">
        <v>223</v>
      </c>
      <c r="E392" s="115" t="s">
        <v>314</v>
      </c>
      <c r="F392" s="115">
        <v>100</v>
      </c>
      <c r="G392" s="70">
        <f>G393</f>
        <v>21566.300000000003</v>
      </c>
      <c r="H392" s="70">
        <f>H393</f>
        <v>0</v>
      </c>
      <c r="I392" s="70">
        <f t="shared" si="91"/>
        <v>21566.300000000003</v>
      </c>
      <c r="J392" s="70">
        <f>J393</f>
        <v>-8140.3</v>
      </c>
      <c r="K392" s="87">
        <f t="shared" si="92"/>
        <v>13426.000000000004</v>
      </c>
      <c r="L392" s="13">
        <f>L393</f>
        <v>0</v>
      </c>
      <c r="M392" s="87">
        <f t="shared" si="85"/>
        <v>13426.000000000004</v>
      </c>
      <c r="N392" s="13">
        <f>N393</f>
        <v>0</v>
      </c>
      <c r="O392" s="87">
        <f t="shared" si="86"/>
        <v>13426.000000000004</v>
      </c>
      <c r="P392" s="13">
        <f>P393</f>
        <v>0</v>
      </c>
      <c r="Q392" s="87">
        <f t="shared" si="84"/>
        <v>13426.000000000004</v>
      </c>
      <c r="R392" s="13">
        <f>R393</f>
        <v>-209.8</v>
      </c>
      <c r="S392" s="87">
        <f t="shared" si="82"/>
        <v>13216.200000000004</v>
      </c>
    </row>
    <row r="393" spans="1:19" ht="12.75">
      <c r="A393" s="62" t="str">
        <f ca="1" t="shared" si="93"/>
        <v>Расходы на выплаты персоналу муниципальных органов</v>
      </c>
      <c r="B393" s="115">
        <v>802</v>
      </c>
      <c r="C393" s="8" t="s">
        <v>221</v>
      </c>
      <c r="D393" s="8" t="s">
        <v>223</v>
      </c>
      <c r="E393" s="115" t="s">
        <v>314</v>
      </c>
      <c r="F393" s="115">
        <v>120</v>
      </c>
      <c r="G393" s="70">
        <f>21202.4+363.9</f>
        <v>21566.300000000003</v>
      </c>
      <c r="H393" s="65"/>
      <c r="I393" s="70">
        <f t="shared" si="91"/>
        <v>21566.300000000003</v>
      </c>
      <c r="J393" s="65">
        <v>-8140.3</v>
      </c>
      <c r="K393" s="87">
        <f t="shared" si="92"/>
        <v>13426.000000000004</v>
      </c>
      <c r="L393" s="87"/>
      <c r="M393" s="87">
        <f t="shared" si="85"/>
        <v>13426.000000000004</v>
      </c>
      <c r="N393" s="87"/>
      <c r="O393" s="87">
        <f t="shared" si="86"/>
        <v>13426.000000000004</v>
      </c>
      <c r="P393" s="87"/>
      <c r="Q393" s="87">
        <f t="shared" si="84"/>
        <v>13426.000000000004</v>
      </c>
      <c r="R393" s="87">
        <v>-209.8</v>
      </c>
      <c r="S393" s="87">
        <f t="shared" si="82"/>
        <v>13216.200000000004</v>
      </c>
    </row>
    <row r="394" spans="1:19" ht="12.75">
      <c r="A394" s="62" t="str">
        <f ca="1" t="shared" si="93"/>
        <v>Закупка товаров, работ и услуг для муниципальных нужд</v>
      </c>
      <c r="B394" s="115">
        <v>802</v>
      </c>
      <c r="C394" s="8" t="s">
        <v>221</v>
      </c>
      <c r="D394" s="8" t="s">
        <v>223</v>
      </c>
      <c r="E394" s="115" t="s">
        <v>314</v>
      </c>
      <c r="F394" s="115">
        <v>200</v>
      </c>
      <c r="G394" s="70">
        <f>G395</f>
        <v>1410.8</v>
      </c>
      <c r="H394" s="70">
        <f>H395</f>
        <v>0</v>
      </c>
      <c r="I394" s="70">
        <f t="shared" si="91"/>
        <v>1410.8</v>
      </c>
      <c r="J394" s="70">
        <f>J395</f>
        <v>-390.1</v>
      </c>
      <c r="K394" s="87">
        <f t="shared" si="92"/>
        <v>1020.6999999999999</v>
      </c>
      <c r="L394" s="13">
        <f>L395</f>
        <v>0</v>
      </c>
      <c r="M394" s="87">
        <f t="shared" si="85"/>
        <v>1020.6999999999999</v>
      </c>
      <c r="N394" s="13">
        <f>N395</f>
        <v>0</v>
      </c>
      <c r="O394" s="87">
        <f t="shared" si="86"/>
        <v>1020.6999999999999</v>
      </c>
      <c r="P394" s="13">
        <f>P395</f>
        <v>0</v>
      </c>
      <c r="Q394" s="87">
        <f t="shared" si="84"/>
        <v>1020.6999999999999</v>
      </c>
      <c r="R394" s="13">
        <f>R395</f>
        <v>0</v>
      </c>
      <c r="S394" s="87">
        <f t="shared" si="82"/>
        <v>1020.6999999999999</v>
      </c>
    </row>
    <row r="395" spans="1:19" ht="33">
      <c r="A395" s="62" t="str">
        <f ca="1" t="shared" si="93"/>
        <v>Иные закупки товаров, работ и услуг для обеспечения муниципальных нужд</v>
      </c>
      <c r="B395" s="115">
        <v>802</v>
      </c>
      <c r="C395" s="8" t="s">
        <v>221</v>
      </c>
      <c r="D395" s="8" t="s">
        <v>223</v>
      </c>
      <c r="E395" s="115" t="s">
        <v>314</v>
      </c>
      <c r="F395" s="115">
        <v>240</v>
      </c>
      <c r="G395" s="70">
        <f>G396</f>
        <v>1410.8</v>
      </c>
      <c r="H395" s="65"/>
      <c r="I395" s="70">
        <f t="shared" si="91"/>
        <v>1410.8</v>
      </c>
      <c r="J395" s="65">
        <f>J396</f>
        <v>-390.1</v>
      </c>
      <c r="K395" s="87">
        <f t="shared" si="92"/>
        <v>1020.6999999999999</v>
      </c>
      <c r="L395" s="87">
        <f>L396</f>
        <v>0</v>
      </c>
      <c r="M395" s="87">
        <f t="shared" si="85"/>
        <v>1020.6999999999999</v>
      </c>
      <c r="N395" s="87">
        <f>N396</f>
        <v>0</v>
      </c>
      <c r="O395" s="87">
        <f t="shared" si="86"/>
        <v>1020.6999999999999</v>
      </c>
      <c r="P395" s="87">
        <f>P396</f>
        <v>0</v>
      </c>
      <c r="Q395" s="87">
        <f t="shared" si="84"/>
        <v>1020.6999999999999</v>
      </c>
      <c r="R395" s="87">
        <f>R396</f>
        <v>0</v>
      </c>
      <c r="S395" s="87">
        <f t="shared" si="82"/>
        <v>1020.6999999999999</v>
      </c>
    </row>
    <row r="396" spans="1:19" ht="33">
      <c r="A396" s="62" t="str">
        <f ca="1" t="shared" si="93"/>
        <v xml:space="preserve">Прочая закупка товаров, работ и услуг для обеспечения муниципальных нужд         </v>
      </c>
      <c r="B396" s="115">
        <v>802</v>
      </c>
      <c r="C396" s="8" t="s">
        <v>221</v>
      </c>
      <c r="D396" s="8" t="s">
        <v>223</v>
      </c>
      <c r="E396" s="115" t="s">
        <v>314</v>
      </c>
      <c r="F396" s="115">
        <v>244</v>
      </c>
      <c r="G396" s="70">
        <v>1410.8</v>
      </c>
      <c r="H396" s="65"/>
      <c r="I396" s="70">
        <f t="shared" si="91"/>
        <v>1410.8</v>
      </c>
      <c r="J396" s="65">
        <v>-390.1</v>
      </c>
      <c r="K396" s="87">
        <f t="shared" si="92"/>
        <v>1020.6999999999999</v>
      </c>
      <c r="L396" s="87"/>
      <c r="M396" s="87">
        <f t="shared" si="85"/>
        <v>1020.6999999999999</v>
      </c>
      <c r="N396" s="87"/>
      <c r="O396" s="87">
        <f t="shared" si="86"/>
        <v>1020.6999999999999</v>
      </c>
      <c r="P396" s="87"/>
      <c r="Q396" s="87">
        <f t="shared" si="84"/>
        <v>1020.6999999999999</v>
      </c>
      <c r="R396" s="87"/>
      <c r="S396" s="87">
        <f t="shared" si="82"/>
        <v>1020.6999999999999</v>
      </c>
    </row>
    <row r="397" spans="1:19" ht="12.75">
      <c r="A397" s="62" t="str">
        <f ca="1" t="shared" si="93"/>
        <v>Иные бюджетные ассигнования</v>
      </c>
      <c r="B397" s="115">
        <v>802</v>
      </c>
      <c r="C397" s="8" t="s">
        <v>221</v>
      </c>
      <c r="D397" s="8" t="s">
        <v>223</v>
      </c>
      <c r="E397" s="115" t="s">
        <v>314</v>
      </c>
      <c r="F397" s="115">
        <v>800</v>
      </c>
      <c r="G397" s="70">
        <f>G398</f>
        <v>2.4</v>
      </c>
      <c r="H397" s="70">
        <f>H398</f>
        <v>0</v>
      </c>
      <c r="I397" s="70">
        <f t="shared" si="91"/>
        <v>2.4</v>
      </c>
      <c r="J397" s="70">
        <f>J398</f>
        <v>0</v>
      </c>
      <c r="K397" s="87">
        <f t="shared" si="92"/>
        <v>2.4</v>
      </c>
      <c r="L397" s="13">
        <f>L398</f>
        <v>0</v>
      </c>
      <c r="M397" s="87">
        <f t="shared" si="85"/>
        <v>2.4</v>
      </c>
      <c r="N397" s="13">
        <f>N398</f>
        <v>0</v>
      </c>
      <c r="O397" s="87">
        <f t="shared" si="86"/>
        <v>2.4</v>
      </c>
      <c r="P397" s="13">
        <f>P398</f>
        <v>0</v>
      </c>
      <c r="Q397" s="87">
        <f t="shared" si="84"/>
        <v>2.4</v>
      </c>
      <c r="R397" s="13">
        <f>R398</f>
        <v>0</v>
      </c>
      <c r="S397" s="87">
        <f t="shared" si="82"/>
        <v>2.4</v>
      </c>
    </row>
    <row r="398" spans="1:19" ht="12.75">
      <c r="A398" s="62" t="str">
        <f ca="1" t="shared" si="93"/>
        <v>Уплата налогов, сборов и иных платежей</v>
      </c>
      <c r="B398" s="115">
        <v>802</v>
      </c>
      <c r="C398" s="8" t="s">
        <v>221</v>
      </c>
      <c r="D398" s="8" t="s">
        <v>223</v>
      </c>
      <c r="E398" s="115" t="s">
        <v>314</v>
      </c>
      <c r="F398" s="115">
        <v>850</v>
      </c>
      <c r="G398" s="70">
        <f>G400</f>
        <v>2.4</v>
      </c>
      <c r="H398" s="70">
        <f>H400</f>
        <v>0</v>
      </c>
      <c r="I398" s="70">
        <f t="shared" si="91"/>
        <v>2.4</v>
      </c>
      <c r="J398" s="70">
        <f>J399+J400</f>
        <v>0</v>
      </c>
      <c r="K398" s="87">
        <f t="shared" si="92"/>
        <v>2.4</v>
      </c>
      <c r="L398" s="13">
        <f>L399+L400</f>
        <v>0</v>
      </c>
      <c r="M398" s="87">
        <f t="shared" si="85"/>
        <v>2.4</v>
      </c>
      <c r="N398" s="13">
        <f>N399+N400</f>
        <v>0</v>
      </c>
      <c r="O398" s="87">
        <f t="shared" si="86"/>
        <v>2.4</v>
      </c>
      <c r="P398" s="13">
        <f>P399+P400</f>
        <v>0</v>
      </c>
      <c r="Q398" s="87">
        <f t="shared" si="84"/>
        <v>2.4</v>
      </c>
      <c r="R398" s="13">
        <f>R399+R400</f>
        <v>0</v>
      </c>
      <c r="S398" s="87">
        <f t="shared" si="82"/>
        <v>2.4</v>
      </c>
    </row>
    <row r="399" spans="1:19" ht="12.75">
      <c r="A399" s="62" t="str">
        <f ca="1">IF(ISERROR(MATCH(F399,Код_КВР,0)),"",INDIRECT(ADDRESS(MATCH(F399,Код_КВР,0)+1,2,,,"КВР")))</f>
        <v>Уплата налога на имущество организаций и земельного налога</v>
      </c>
      <c r="B399" s="115">
        <v>802</v>
      </c>
      <c r="C399" s="8" t="s">
        <v>221</v>
      </c>
      <c r="D399" s="8" t="s">
        <v>223</v>
      </c>
      <c r="E399" s="115" t="s">
        <v>314</v>
      </c>
      <c r="F399" s="115">
        <v>851</v>
      </c>
      <c r="G399" s="70"/>
      <c r="H399" s="70"/>
      <c r="I399" s="70"/>
      <c r="J399" s="70">
        <v>2.4</v>
      </c>
      <c r="K399" s="87">
        <f t="shared" si="92"/>
        <v>2.4</v>
      </c>
      <c r="L399" s="13"/>
      <c r="M399" s="87">
        <f t="shared" si="85"/>
        <v>2.4</v>
      </c>
      <c r="N399" s="13"/>
      <c r="O399" s="87">
        <f t="shared" si="86"/>
        <v>2.4</v>
      </c>
      <c r="P399" s="13"/>
      <c r="Q399" s="87">
        <f t="shared" si="84"/>
        <v>2.4</v>
      </c>
      <c r="R399" s="13"/>
      <c r="S399" s="87">
        <f t="shared" si="82"/>
        <v>2.4</v>
      </c>
    </row>
    <row r="400" spans="1:19" ht="12.75" hidden="1">
      <c r="A400" s="62" t="str">
        <f ca="1">IF(ISERROR(MATCH(F400,Код_КВР,0)),"",INDIRECT(ADDRESS(MATCH(F400,Код_КВР,0)+1,2,,,"КВР")))</f>
        <v>Уплата прочих налогов, сборов и иных платежей</v>
      </c>
      <c r="B400" s="115">
        <v>802</v>
      </c>
      <c r="C400" s="8" t="s">
        <v>221</v>
      </c>
      <c r="D400" s="8" t="s">
        <v>223</v>
      </c>
      <c r="E400" s="115" t="s">
        <v>314</v>
      </c>
      <c r="F400" s="115">
        <v>852</v>
      </c>
      <c r="G400" s="70">
        <v>2.4</v>
      </c>
      <c r="H400" s="65"/>
      <c r="I400" s="70">
        <f t="shared" si="91"/>
        <v>2.4</v>
      </c>
      <c r="J400" s="65">
        <v>-2.4</v>
      </c>
      <c r="K400" s="87">
        <f t="shared" si="92"/>
        <v>0</v>
      </c>
      <c r="L400" s="87"/>
      <c r="M400" s="87">
        <f t="shared" si="85"/>
        <v>0</v>
      </c>
      <c r="N400" s="87"/>
      <c r="O400" s="87">
        <f t="shared" si="86"/>
        <v>0</v>
      </c>
      <c r="P400" s="87"/>
      <c r="Q400" s="87">
        <f t="shared" si="84"/>
        <v>0</v>
      </c>
      <c r="R400" s="87"/>
      <c r="S400" s="87">
        <f t="shared" si="82"/>
        <v>0</v>
      </c>
    </row>
    <row r="401" spans="1:19" ht="21.95" customHeight="1">
      <c r="A401" s="62" t="str">
        <f ca="1">IF(ISERROR(MATCH(E401,Код_КЦСР,0)),"",INDIRECT(ADDRESS(MATCH(E401,Код_КЦСР,0)+1,2,,,"КЦСР")))</f>
        <v>Председатель представительного органа муниципального образования</v>
      </c>
      <c r="B401" s="115">
        <v>802</v>
      </c>
      <c r="C401" s="8" t="s">
        <v>221</v>
      </c>
      <c r="D401" s="8" t="s">
        <v>223</v>
      </c>
      <c r="E401" s="115" t="s">
        <v>315</v>
      </c>
      <c r="F401" s="115"/>
      <c r="G401" s="70">
        <f>G402</f>
        <v>2201.1</v>
      </c>
      <c r="H401" s="70">
        <f>H402</f>
        <v>0</v>
      </c>
      <c r="I401" s="70">
        <f t="shared" si="91"/>
        <v>2201.1</v>
      </c>
      <c r="J401" s="70">
        <f>J402</f>
        <v>0</v>
      </c>
      <c r="K401" s="87">
        <f t="shared" si="92"/>
        <v>2201.1</v>
      </c>
      <c r="L401" s="13">
        <f>L402</f>
        <v>0</v>
      </c>
      <c r="M401" s="87">
        <f t="shared" si="85"/>
        <v>2201.1</v>
      </c>
      <c r="N401" s="13">
        <f>N402</f>
        <v>0</v>
      </c>
      <c r="O401" s="87">
        <f t="shared" si="86"/>
        <v>2201.1</v>
      </c>
      <c r="P401" s="13">
        <f>P402</f>
        <v>0</v>
      </c>
      <c r="Q401" s="87">
        <f t="shared" si="84"/>
        <v>2201.1</v>
      </c>
      <c r="R401" s="13">
        <f>R402</f>
        <v>0</v>
      </c>
      <c r="S401" s="87">
        <f t="shared" si="82"/>
        <v>2201.1</v>
      </c>
    </row>
    <row r="402" spans="1:19" ht="33">
      <c r="A402" s="62" t="str">
        <f ca="1">IF(ISERROR(MATCH(F402,Код_КВР,0)),"",INDIRECT(ADDRESS(MATCH(F402,Код_КВР,0)+1,2,,,"КВР")))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02" s="115">
        <v>802</v>
      </c>
      <c r="C402" s="8" t="s">
        <v>221</v>
      </c>
      <c r="D402" s="8" t="s">
        <v>223</v>
      </c>
      <c r="E402" s="115" t="s">
        <v>315</v>
      </c>
      <c r="F402" s="115">
        <v>100</v>
      </c>
      <c r="G402" s="70">
        <f>G403</f>
        <v>2201.1</v>
      </c>
      <c r="H402" s="70">
        <f>H403</f>
        <v>0</v>
      </c>
      <c r="I402" s="70">
        <f t="shared" si="91"/>
        <v>2201.1</v>
      </c>
      <c r="J402" s="70">
        <f>J403</f>
        <v>0</v>
      </c>
      <c r="K402" s="87">
        <f t="shared" si="92"/>
        <v>2201.1</v>
      </c>
      <c r="L402" s="13">
        <f>L403</f>
        <v>0</v>
      </c>
      <c r="M402" s="87">
        <f t="shared" si="85"/>
        <v>2201.1</v>
      </c>
      <c r="N402" s="13">
        <f>N403</f>
        <v>0</v>
      </c>
      <c r="O402" s="87">
        <f t="shared" si="86"/>
        <v>2201.1</v>
      </c>
      <c r="P402" s="13">
        <f>P403</f>
        <v>0</v>
      </c>
      <c r="Q402" s="87">
        <f t="shared" si="84"/>
        <v>2201.1</v>
      </c>
      <c r="R402" s="13">
        <f>R403</f>
        <v>0</v>
      </c>
      <c r="S402" s="87">
        <f t="shared" si="82"/>
        <v>2201.1</v>
      </c>
    </row>
    <row r="403" spans="1:19" ht="12.75">
      <c r="A403" s="62" t="str">
        <f ca="1">IF(ISERROR(MATCH(F403,Код_КВР,0)),"",INDIRECT(ADDRESS(MATCH(F403,Код_КВР,0)+1,2,,,"КВР")))</f>
        <v>Расходы на выплаты персоналу муниципальных органов</v>
      </c>
      <c r="B403" s="115">
        <v>802</v>
      </c>
      <c r="C403" s="8" t="s">
        <v>221</v>
      </c>
      <c r="D403" s="8" t="s">
        <v>223</v>
      </c>
      <c r="E403" s="115" t="s">
        <v>315</v>
      </c>
      <c r="F403" s="115">
        <v>120</v>
      </c>
      <c r="G403" s="70">
        <v>2201.1</v>
      </c>
      <c r="H403" s="65"/>
      <c r="I403" s="70">
        <f t="shared" si="91"/>
        <v>2201.1</v>
      </c>
      <c r="J403" s="65"/>
      <c r="K403" s="87">
        <f t="shared" si="92"/>
        <v>2201.1</v>
      </c>
      <c r="L403" s="87"/>
      <c r="M403" s="87">
        <f t="shared" si="85"/>
        <v>2201.1</v>
      </c>
      <c r="N403" s="87"/>
      <c r="O403" s="87">
        <f t="shared" si="86"/>
        <v>2201.1</v>
      </c>
      <c r="P403" s="87"/>
      <c r="Q403" s="87">
        <f t="shared" si="84"/>
        <v>2201.1</v>
      </c>
      <c r="R403" s="87"/>
      <c r="S403" s="87">
        <f t="shared" si="82"/>
        <v>2201.1</v>
      </c>
    </row>
    <row r="404" spans="1:19" ht="12.75">
      <c r="A404" s="62" t="str">
        <f ca="1">IF(ISERROR(MATCH(E404,Код_КЦСР,0)),"",INDIRECT(ADDRESS(MATCH(E404,Код_КЦСР,0)+1,2,,,"КЦСР")))</f>
        <v>Депутаты представительного органа муниципального образования</v>
      </c>
      <c r="B404" s="115">
        <v>802</v>
      </c>
      <c r="C404" s="8" t="s">
        <v>221</v>
      </c>
      <c r="D404" s="8" t="s">
        <v>223</v>
      </c>
      <c r="E404" s="115" t="s">
        <v>316</v>
      </c>
      <c r="F404" s="115"/>
      <c r="G404" s="70">
        <f>G405</f>
        <v>3706.8</v>
      </c>
      <c r="H404" s="70">
        <f>H405</f>
        <v>0</v>
      </c>
      <c r="I404" s="70">
        <f t="shared" si="91"/>
        <v>3706.8</v>
      </c>
      <c r="J404" s="70">
        <f>J405</f>
        <v>0</v>
      </c>
      <c r="K404" s="87">
        <f t="shared" si="92"/>
        <v>3706.8</v>
      </c>
      <c r="L404" s="13">
        <f>L405</f>
        <v>0</v>
      </c>
      <c r="M404" s="87">
        <f t="shared" si="85"/>
        <v>3706.8</v>
      </c>
      <c r="N404" s="13">
        <f>N405</f>
        <v>0</v>
      </c>
      <c r="O404" s="87">
        <f t="shared" si="86"/>
        <v>3706.8</v>
      </c>
      <c r="P404" s="13">
        <f>P405</f>
        <v>0</v>
      </c>
      <c r="Q404" s="87">
        <f t="shared" si="84"/>
        <v>3706.8</v>
      </c>
      <c r="R404" s="13">
        <f>R405</f>
        <v>0</v>
      </c>
      <c r="S404" s="87">
        <f t="shared" si="82"/>
        <v>3706.8</v>
      </c>
    </row>
    <row r="405" spans="1:19" ht="33">
      <c r="A405" s="62" t="str">
        <f ca="1">IF(ISERROR(MATCH(F405,Код_КВР,0)),"",INDIRECT(ADDRESS(MATCH(F405,Код_КВР,0)+1,2,,,"КВР")))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05" s="115">
        <v>802</v>
      </c>
      <c r="C405" s="8" t="s">
        <v>221</v>
      </c>
      <c r="D405" s="8" t="s">
        <v>223</v>
      </c>
      <c r="E405" s="115" t="s">
        <v>316</v>
      </c>
      <c r="F405" s="115">
        <v>100</v>
      </c>
      <c r="G405" s="70">
        <f>G406</f>
        <v>3706.8</v>
      </c>
      <c r="H405" s="70">
        <f>H406</f>
        <v>0</v>
      </c>
      <c r="I405" s="70">
        <f t="shared" si="91"/>
        <v>3706.8</v>
      </c>
      <c r="J405" s="70">
        <f>J406</f>
        <v>0</v>
      </c>
      <c r="K405" s="87">
        <f t="shared" si="92"/>
        <v>3706.8</v>
      </c>
      <c r="L405" s="13">
        <f>L406</f>
        <v>0</v>
      </c>
      <c r="M405" s="87">
        <f t="shared" si="85"/>
        <v>3706.8</v>
      </c>
      <c r="N405" s="13">
        <f>N406</f>
        <v>0</v>
      </c>
      <c r="O405" s="87">
        <f t="shared" si="86"/>
        <v>3706.8</v>
      </c>
      <c r="P405" s="13">
        <f>P406</f>
        <v>0</v>
      </c>
      <c r="Q405" s="87">
        <f t="shared" si="84"/>
        <v>3706.8</v>
      </c>
      <c r="R405" s="13">
        <f>R406</f>
        <v>0</v>
      </c>
      <c r="S405" s="87">
        <f t="shared" si="82"/>
        <v>3706.8</v>
      </c>
    </row>
    <row r="406" spans="1:19" ht="12.75">
      <c r="A406" s="62" t="str">
        <f ca="1">IF(ISERROR(MATCH(F406,Код_КВР,0)),"",INDIRECT(ADDRESS(MATCH(F406,Код_КВР,0)+1,2,,,"КВР")))</f>
        <v>Расходы на выплаты персоналу муниципальных органов</v>
      </c>
      <c r="B406" s="115">
        <v>802</v>
      </c>
      <c r="C406" s="8" t="s">
        <v>221</v>
      </c>
      <c r="D406" s="8" t="s">
        <v>223</v>
      </c>
      <c r="E406" s="115" t="s">
        <v>316</v>
      </c>
      <c r="F406" s="115">
        <v>120</v>
      </c>
      <c r="G406" s="70">
        <v>3706.8</v>
      </c>
      <c r="H406" s="65"/>
      <c r="I406" s="70">
        <f t="shared" si="91"/>
        <v>3706.8</v>
      </c>
      <c r="J406" s="65"/>
      <c r="K406" s="87">
        <f t="shared" si="92"/>
        <v>3706.8</v>
      </c>
      <c r="L406" s="87"/>
      <c r="M406" s="87">
        <f t="shared" si="85"/>
        <v>3706.8</v>
      </c>
      <c r="N406" s="87"/>
      <c r="O406" s="87">
        <f t="shared" si="86"/>
        <v>3706.8</v>
      </c>
      <c r="P406" s="87"/>
      <c r="Q406" s="87">
        <f t="shared" si="84"/>
        <v>3706.8</v>
      </c>
      <c r="R406" s="87"/>
      <c r="S406" s="87">
        <f t="shared" si="82"/>
        <v>3706.8</v>
      </c>
    </row>
    <row r="407" spans="1:19" ht="33">
      <c r="A407" s="62" t="str">
        <f ca="1">IF(ISERROR(MATCH(B407,Код_ППП,0)),"",INDIRECT(ADDRESS(MATCH(B407,Код_ППП,0)+1,2,,,"ППП")))</f>
        <v>ДЕПАРТАМЕНТ ЖИЛИЩНО-КОММУНАЛЬНОГО ХОЗЯЙСТВА МЭРИИ ГОРОДА</v>
      </c>
      <c r="B407" s="115">
        <v>803</v>
      </c>
      <c r="C407" s="8"/>
      <c r="D407" s="8"/>
      <c r="E407" s="115"/>
      <c r="F407" s="115"/>
      <c r="G407" s="70">
        <f>G408+G416+G470+G519+G525+G533</f>
        <v>785341.7</v>
      </c>
      <c r="H407" s="70">
        <f>H408+H416+H470+H519+H525+H533</f>
        <v>67187.9</v>
      </c>
      <c r="I407" s="70">
        <f t="shared" si="91"/>
        <v>852529.6</v>
      </c>
      <c r="J407" s="70">
        <f>J408+J416+J470+J519+J525+J533</f>
        <v>-898.9000000000001</v>
      </c>
      <c r="K407" s="87">
        <f t="shared" si="92"/>
        <v>851630.7</v>
      </c>
      <c r="L407" s="13">
        <f>L408+L416+L470+L519+L525+L533</f>
        <v>-6594.8</v>
      </c>
      <c r="M407" s="87">
        <f t="shared" si="85"/>
        <v>845035.8999999999</v>
      </c>
      <c r="N407" s="13">
        <f>N408+N416+N470+N519+N525+N533</f>
        <v>-841</v>
      </c>
      <c r="O407" s="87">
        <f t="shared" si="86"/>
        <v>844194.8999999999</v>
      </c>
      <c r="P407" s="13">
        <f>P408+P416+P470+P519+P525+P533</f>
        <v>-140.2</v>
      </c>
      <c r="Q407" s="87">
        <f t="shared" si="84"/>
        <v>844054.7</v>
      </c>
      <c r="R407" s="13">
        <f>R408+R416+R470+R519+R525+R533</f>
        <v>362.40000000000146</v>
      </c>
      <c r="S407" s="87">
        <f t="shared" si="82"/>
        <v>844417.1</v>
      </c>
    </row>
    <row r="408" spans="1:19" ht="12.75">
      <c r="A408" s="62" t="str">
        <f ca="1">IF(ISERROR(MATCH(C408,Код_Раздел,0)),"",INDIRECT(ADDRESS(MATCH(C408,Код_Раздел,0)+1,2,,,"Раздел")))</f>
        <v>Общегосударственные  вопросы</v>
      </c>
      <c r="B408" s="115">
        <v>803</v>
      </c>
      <c r="C408" s="8" t="s">
        <v>221</v>
      </c>
      <c r="D408" s="8"/>
      <c r="E408" s="115"/>
      <c r="F408" s="115"/>
      <c r="G408" s="70">
        <f aca="true" t="shared" si="94" ref="G408:R414">G409</f>
        <v>160</v>
      </c>
      <c r="H408" s="70">
        <f t="shared" si="94"/>
        <v>0</v>
      </c>
      <c r="I408" s="70">
        <f t="shared" si="91"/>
        <v>160</v>
      </c>
      <c r="J408" s="70">
        <f t="shared" si="94"/>
        <v>0</v>
      </c>
      <c r="K408" s="87">
        <f t="shared" si="92"/>
        <v>160</v>
      </c>
      <c r="L408" s="13">
        <f t="shared" si="94"/>
        <v>0</v>
      </c>
      <c r="M408" s="87">
        <f t="shared" si="85"/>
        <v>160</v>
      </c>
      <c r="N408" s="13">
        <f t="shared" si="94"/>
        <v>0</v>
      </c>
      <c r="O408" s="87">
        <f t="shared" si="86"/>
        <v>160</v>
      </c>
      <c r="P408" s="13">
        <f t="shared" si="94"/>
        <v>0</v>
      </c>
      <c r="Q408" s="87">
        <f t="shared" si="84"/>
        <v>160</v>
      </c>
      <c r="R408" s="13">
        <f t="shared" si="94"/>
        <v>0</v>
      </c>
      <c r="S408" s="87">
        <f t="shared" si="82"/>
        <v>160</v>
      </c>
    </row>
    <row r="409" spans="1:19" ht="12.75">
      <c r="A409" s="12" t="s">
        <v>245</v>
      </c>
      <c r="B409" s="115">
        <v>803</v>
      </c>
      <c r="C409" s="8" t="s">
        <v>221</v>
      </c>
      <c r="D409" s="8" t="s">
        <v>198</v>
      </c>
      <c r="E409" s="115"/>
      <c r="F409" s="115"/>
      <c r="G409" s="70">
        <f t="shared" si="94"/>
        <v>160</v>
      </c>
      <c r="H409" s="70">
        <f t="shared" si="94"/>
        <v>0</v>
      </c>
      <c r="I409" s="70">
        <f t="shared" si="91"/>
        <v>160</v>
      </c>
      <c r="J409" s="70">
        <f t="shared" si="94"/>
        <v>0</v>
      </c>
      <c r="K409" s="87">
        <f t="shared" si="92"/>
        <v>160</v>
      </c>
      <c r="L409" s="13">
        <f t="shared" si="94"/>
        <v>0</v>
      </c>
      <c r="M409" s="87">
        <f t="shared" si="85"/>
        <v>160</v>
      </c>
      <c r="N409" s="13">
        <f t="shared" si="94"/>
        <v>0</v>
      </c>
      <c r="O409" s="87">
        <f t="shared" si="86"/>
        <v>160</v>
      </c>
      <c r="P409" s="13">
        <f t="shared" si="94"/>
        <v>0</v>
      </c>
      <c r="Q409" s="87">
        <f t="shared" si="84"/>
        <v>160</v>
      </c>
      <c r="R409" s="13">
        <f t="shared" si="94"/>
        <v>0</v>
      </c>
      <c r="S409" s="87">
        <f t="shared" si="82"/>
        <v>160</v>
      </c>
    </row>
    <row r="410" spans="1:19" ht="33">
      <c r="A410" s="62" t="str">
        <f ca="1">IF(ISERROR(MATCH(E410,Код_КЦСР,0)),"",INDIRECT(ADDRESS(MATCH(E410,Код_КЦСР,0)+1,2,,,"КЦСР")))</f>
        <v>Муниципальная программа «Развитие жилищно-коммунального хозяйства города Череповца» на 2014-2018 годы</v>
      </c>
      <c r="B410" s="115">
        <v>803</v>
      </c>
      <c r="C410" s="8" t="s">
        <v>221</v>
      </c>
      <c r="D410" s="8" t="s">
        <v>198</v>
      </c>
      <c r="E410" s="115" t="s">
        <v>47</v>
      </c>
      <c r="F410" s="115"/>
      <c r="G410" s="70">
        <f t="shared" si="94"/>
        <v>160</v>
      </c>
      <c r="H410" s="70">
        <f t="shared" si="94"/>
        <v>0</v>
      </c>
      <c r="I410" s="70">
        <f t="shared" si="91"/>
        <v>160</v>
      </c>
      <c r="J410" s="70">
        <f t="shared" si="94"/>
        <v>0</v>
      </c>
      <c r="K410" s="87">
        <f t="shared" si="92"/>
        <v>160</v>
      </c>
      <c r="L410" s="13">
        <f t="shared" si="94"/>
        <v>0</v>
      </c>
      <c r="M410" s="87">
        <f t="shared" si="85"/>
        <v>160</v>
      </c>
      <c r="N410" s="13">
        <f t="shared" si="94"/>
        <v>0</v>
      </c>
      <c r="O410" s="87">
        <f t="shared" si="86"/>
        <v>160</v>
      </c>
      <c r="P410" s="13">
        <f t="shared" si="94"/>
        <v>0</v>
      </c>
      <c r="Q410" s="87">
        <f t="shared" si="84"/>
        <v>160</v>
      </c>
      <c r="R410" s="13">
        <f t="shared" si="94"/>
        <v>0</v>
      </c>
      <c r="S410" s="87">
        <f t="shared" si="82"/>
        <v>160</v>
      </c>
    </row>
    <row r="411" spans="1:19" ht="12.75">
      <c r="A411" s="62" t="str">
        <f ca="1">IF(ISERROR(MATCH(E411,Код_КЦСР,0)),"",INDIRECT(ADDRESS(MATCH(E411,Код_КЦСР,0)+1,2,,,"КЦСР")))</f>
        <v>Развитие благоустройства города</v>
      </c>
      <c r="B411" s="115">
        <v>803</v>
      </c>
      <c r="C411" s="8" t="s">
        <v>221</v>
      </c>
      <c r="D411" s="8" t="s">
        <v>198</v>
      </c>
      <c r="E411" s="115" t="s">
        <v>48</v>
      </c>
      <c r="F411" s="115"/>
      <c r="G411" s="70">
        <f t="shared" si="94"/>
        <v>160</v>
      </c>
      <c r="H411" s="70">
        <f t="shared" si="94"/>
        <v>0</v>
      </c>
      <c r="I411" s="70">
        <f t="shared" si="91"/>
        <v>160</v>
      </c>
      <c r="J411" s="70">
        <f t="shared" si="94"/>
        <v>0</v>
      </c>
      <c r="K411" s="87">
        <f t="shared" si="92"/>
        <v>160</v>
      </c>
      <c r="L411" s="13">
        <f t="shared" si="94"/>
        <v>0</v>
      </c>
      <c r="M411" s="87">
        <f t="shared" si="85"/>
        <v>160</v>
      </c>
      <c r="N411" s="13">
        <f t="shared" si="94"/>
        <v>0</v>
      </c>
      <c r="O411" s="87">
        <f t="shared" si="86"/>
        <v>160</v>
      </c>
      <c r="P411" s="13">
        <f t="shared" si="94"/>
        <v>0</v>
      </c>
      <c r="Q411" s="87">
        <f t="shared" si="84"/>
        <v>160</v>
      </c>
      <c r="R411" s="13">
        <f t="shared" si="94"/>
        <v>0</v>
      </c>
      <c r="S411" s="87">
        <f t="shared" si="82"/>
        <v>160</v>
      </c>
    </row>
    <row r="412" spans="1:19" ht="33">
      <c r="A412" s="62" t="str">
        <f ca="1">IF(ISERROR(MATCH(E412,Код_КЦСР,0)),"",INDIRECT(ADDRESS(MATCH(E412,Код_КЦСР,0)+1,2,,,"КЦСР")))</f>
        <v>Мероприятия по решению общегосударственных вопросов и вопросов в области национальной политики</v>
      </c>
      <c r="B412" s="115">
        <v>803</v>
      </c>
      <c r="C412" s="8" t="s">
        <v>221</v>
      </c>
      <c r="D412" s="8" t="s">
        <v>198</v>
      </c>
      <c r="E412" s="115" t="s">
        <v>54</v>
      </c>
      <c r="F412" s="115"/>
      <c r="G412" s="70">
        <f t="shared" si="94"/>
        <v>160</v>
      </c>
      <c r="H412" s="70">
        <f t="shared" si="94"/>
        <v>0</v>
      </c>
      <c r="I412" s="70">
        <f t="shared" si="91"/>
        <v>160</v>
      </c>
      <c r="J412" s="70">
        <f t="shared" si="94"/>
        <v>0</v>
      </c>
      <c r="K412" s="87">
        <f t="shared" si="92"/>
        <v>160</v>
      </c>
      <c r="L412" s="13">
        <f t="shared" si="94"/>
        <v>0</v>
      </c>
      <c r="M412" s="87">
        <f t="shared" si="85"/>
        <v>160</v>
      </c>
      <c r="N412" s="13">
        <f t="shared" si="94"/>
        <v>0</v>
      </c>
      <c r="O412" s="87">
        <f t="shared" si="86"/>
        <v>160</v>
      </c>
      <c r="P412" s="13">
        <f t="shared" si="94"/>
        <v>0</v>
      </c>
      <c r="Q412" s="87">
        <f t="shared" si="84"/>
        <v>160</v>
      </c>
      <c r="R412" s="13">
        <f t="shared" si="94"/>
        <v>0</v>
      </c>
      <c r="S412" s="87">
        <f t="shared" si="82"/>
        <v>160</v>
      </c>
    </row>
    <row r="413" spans="1:19" ht="12.75">
      <c r="A413" s="62" t="str">
        <f ca="1">IF(ISERROR(MATCH(F413,Код_КВР,0)),"",INDIRECT(ADDRESS(MATCH(F413,Код_КВР,0)+1,2,,,"КВР")))</f>
        <v>Закупка товаров, работ и услуг для муниципальных нужд</v>
      </c>
      <c r="B413" s="115">
        <v>803</v>
      </c>
      <c r="C413" s="8" t="s">
        <v>221</v>
      </c>
      <c r="D413" s="8" t="s">
        <v>198</v>
      </c>
      <c r="E413" s="115" t="s">
        <v>54</v>
      </c>
      <c r="F413" s="115">
        <v>200</v>
      </c>
      <c r="G413" s="70">
        <f t="shared" si="94"/>
        <v>160</v>
      </c>
      <c r="H413" s="70">
        <f t="shared" si="94"/>
        <v>0</v>
      </c>
      <c r="I413" s="70">
        <f t="shared" si="91"/>
        <v>160</v>
      </c>
      <c r="J413" s="70">
        <f t="shared" si="94"/>
        <v>0</v>
      </c>
      <c r="K413" s="87">
        <f t="shared" si="92"/>
        <v>160</v>
      </c>
      <c r="L413" s="13">
        <f t="shared" si="94"/>
        <v>0</v>
      </c>
      <c r="M413" s="87">
        <f t="shared" si="85"/>
        <v>160</v>
      </c>
      <c r="N413" s="13">
        <f t="shared" si="94"/>
        <v>0</v>
      </c>
      <c r="O413" s="87">
        <f t="shared" si="86"/>
        <v>160</v>
      </c>
      <c r="P413" s="13">
        <f t="shared" si="94"/>
        <v>0</v>
      </c>
      <c r="Q413" s="87">
        <f t="shared" si="84"/>
        <v>160</v>
      </c>
      <c r="R413" s="13">
        <f t="shared" si="94"/>
        <v>0</v>
      </c>
      <c r="S413" s="87">
        <f t="shared" si="82"/>
        <v>160</v>
      </c>
    </row>
    <row r="414" spans="1:19" ht="33">
      <c r="A414" s="62" t="str">
        <f ca="1">IF(ISERROR(MATCH(F414,Код_КВР,0)),"",INDIRECT(ADDRESS(MATCH(F414,Код_КВР,0)+1,2,,,"КВР")))</f>
        <v>Иные закупки товаров, работ и услуг для обеспечения муниципальных нужд</v>
      </c>
      <c r="B414" s="115">
        <v>803</v>
      </c>
      <c r="C414" s="8" t="s">
        <v>221</v>
      </c>
      <c r="D414" s="8" t="s">
        <v>198</v>
      </c>
      <c r="E414" s="115" t="s">
        <v>54</v>
      </c>
      <c r="F414" s="115">
        <v>240</v>
      </c>
      <c r="G414" s="70">
        <f t="shared" si="94"/>
        <v>160</v>
      </c>
      <c r="H414" s="70">
        <f t="shared" si="94"/>
        <v>0</v>
      </c>
      <c r="I414" s="70">
        <f t="shared" si="91"/>
        <v>160</v>
      </c>
      <c r="J414" s="70">
        <f t="shared" si="94"/>
        <v>0</v>
      </c>
      <c r="K414" s="87">
        <f t="shared" si="92"/>
        <v>160</v>
      </c>
      <c r="L414" s="13">
        <f t="shared" si="94"/>
        <v>0</v>
      </c>
      <c r="M414" s="87">
        <f t="shared" si="85"/>
        <v>160</v>
      </c>
      <c r="N414" s="13">
        <f t="shared" si="94"/>
        <v>0</v>
      </c>
      <c r="O414" s="87">
        <f t="shared" si="86"/>
        <v>160</v>
      </c>
      <c r="P414" s="13">
        <f t="shared" si="94"/>
        <v>0</v>
      </c>
      <c r="Q414" s="87">
        <f t="shared" si="84"/>
        <v>160</v>
      </c>
      <c r="R414" s="13">
        <f t="shared" si="94"/>
        <v>0</v>
      </c>
      <c r="S414" s="87">
        <f t="shared" si="82"/>
        <v>160</v>
      </c>
    </row>
    <row r="415" spans="1:19" ht="33">
      <c r="A415" s="62" t="str">
        <f ca="1">IF(ISERROR(MATCH(F415,Код_КВР,0)),"",INDIRECT(ADDRESS(MATCH(F415,Код_КВР,0)+1,2,,,"КВР")))</f>
        <v xml:space="preserve">Прочая закупка товаров, работ и услуг для обеспечения муниципальных нужд         </v>
      </c>
      <c r="B415" s="115">
        <v>803</v>
      </c>
      <c r="C415" s="8" t="s">
        <v>221</v>
      </c>
      <c r="D415" s="8" t="s">
        <v>198</v>
      </c>
      <c r="E415" s="115" t="s">
        <v>54</v>
      </c>
      <c r="F415" s="115">
        <v>244</v>
      </c>
      <c r="G415" s="70">
        <v>160</v>
      </c>
      <c r="H415" s="65"/>
      <c r="I415" s="70">
        <f t="shared" si="91"/>
        <v>160</v>
      </c>
      <c r="J415" s="65"/>
      <c r="K415" s="87">
        <f t="shared" si="92"/>
        <v>160</v>
      </c>
      <c r="L415" s="87"/>
      <c r="M415" s="87">
        <f t="shared" si="85"/>
        <v>160</v>
      </c>
      <c r="N415" s="87"/>
      <c r="O415" s="87">
        <f t="shared" si="86"/>
        <v>160</v>
      </c>
      <c r="P415" s="87"/>
      <c r="Q415" s="87">
        <f t="shared" si="84"/>
        <v>160</v>
      </c>
      <c r="R415" s="87"/>
      <c r="S415" s="87">
        <f t="shared" si="82"/>
        <v>160</v>
      </c>
    </row>
    <row r="416" spans="1:19" ht="12.75">
      <c r="A416" s="62" t="str">
        <f ca="1">IF(ISERROR(MATCH(C416,Код_Раздел,0)),"",INDIRECT(ADDRESS(MATCH(C416,Код_Раздел,0)+1,2,,,"Раздел")))</f>
        <v>Национальная экономика</v>
      </c>
      <c r="B416" s="115">
        <v>803</v>
      </c>
      <c r="C416" s="8" t="s">
        <v>224</v>
      </c>
      <c r="D416" s="8"/>
      <c r="E416" s="115"/>
      <c r="F416" s="115"/>
      <c r="G416" s="70">
        <f>G423+G454</f>
        <v>615132.7</v>
      </c>
      <c r="H416" s="70">
        <f>H423+H454+H417</f>
        <v>67187.9</v>
      </c>
      <c r="I416" s="70">
        <f>G416+H416</f>
        <v>682320.6</v>
      </c>
      <c r="J416" s="70">
        <f>J423+J454+J417</f>
        <v>0</v>
      </c>
      <c r="K416" s="87">
        <f t="shared" si="92"/>
        <v>682320.6</v>
      </c>
      <c r="L416" s="13">
        <f>L423+L454+L417</f>
        <v>-3913.1000000000004</v>
      </c>
      <c r="M416" s="87">
        <f t="shared" si="85"/>
        <v>678407.5</v>
      </c>
      <c r="N416" s="13">
        <f>N423+N454+N417</f>
        <v>-676.6999999999999</v>
      </c>
      <c r="O416" s="87">
        <f t="shared" si="86"/>
        <v>677730.8</v>
      </c>
      <c r="P416" s="13">
        <f>P423+P454+P417</f>
        <v>0</v>
      </c>
      <c r="Q416" s="87">
        <f t="shared" si="84"/>
        <v>677730.8</v>
      </c>
      <c r="R416" s="13">
        <f>R423+R454+R417</f>
        <v>-5879.799999999999</v>
      </c>
      <c r="S416" s="87">
        <f aca="true" t="shared" si="95" ref="S416:S492">Q416+R416</f>
        <v>671851</v>
      </c>
    </row>
    <row r="417" spans="1:19" ht="12.75">
      <c r="A417" s="79" t="s">
        <v>369</v>
      </c>
      <c r="B417" s="115">
        <v>803</v>
      </c>
      <c r="C417" s="8" t="s">
        <v>224</v>
      </c>
      <c r="D417" s="8" t="s">
        <v>230</v>
      </c>
      <c r="E417" s="115"/>
      <c r="F417" s="115"/>
      <c r="G417" s="70"/>
      <c r="H417" s="70">
        <f>H418</f>
        <v>15804.3</v>
      </c>
      <c r="I417" s="70">
        <f t="shared" si="91"/>
        <v>15804.3</v>
      </c>
      <c r="J417" s="70">
        <f>J418</f>
        <v>0</v>
      </c>
      <c r="K417" s="87">
        <f t="shared" si="92"/>
        <v>15804.3</v>
      </c>
      <c r="L417" s="13">
        <f>L418</f>
        <v>0</v>
      </c>
      <c r="M417" s="87">
        <f t="shared" si="85"/>
        <v>15804.3</v>
      </c>
      <c r="N417" s="13">
        <f>N418</f>
        <v>0</v>
      </c>
      <c r="O417" s="87">
        <f t="shared" si="86"/>
        <v>15804.3</v>
      </c>
      <c r="P417" s="13">
        <f>P418</f>
        <v>0</v>
      </c>
      <c r="Q417" s="87">
        <f t="shared" si="84"/>
        <v>15804.3</v>
      </c>
      <c r="R417" s="13">
        <f>R418</f>
        <v>0</v>
      </c>
      <c r="S417" s="87">
        <f t="shared" si="95"/>
        <v>15804.3</v>
      </c>
    </row>
    <row r="418" spans="1:19" ht="33">
      <c r="A418" s="62" t="str">
        <f ca="1">IF(ISERROR(MATCH(E418,Код_КЦСР,0)),"",INDIRECT(ADDRESS(MATCH(E418,Код_КЦСР,0)+1,2,,,"КЦСР")))</f>
        <v>Муниципальная программа «Развитие земельно-имущественного комплекса  города Череповца» на 2014-2018 годы</v>
      </c>
      <c r="B418" s="115">
        <v>803</v>
      </c>
      <c r="C418" s="8" t="s">
        <v>224</v>
      </c>
      <c r="D418" s="8" t="s">
        <v>230</v>
      </c>
      <c r="E418" s="115" t="s">
        <v>62</v>
      </c>
      <c r="F418" s="115"/>
      <c r="G418" s="70"/>
      <c r="H418" s="70">
        <f>H419</f>
        <v>15804.3</v>
      </c>
      <c r="I418" s="70">
        <f t="shared" si="91"/>
        <v>15804.3</v>
      </c>
      <c r="J418" s="70">
        <f>J419</f>
        <v>0</v>
      </c>
      <c r="K418" s="87">
        <f t="shared" si="92"/>
        <v>15804.3</v>
      </c>
      <c r="L418" s="13">
        <f>L419</f>
        <v>0</v>
      </c>
      <c r="M418" s="87">
        <f t="shared" si="85"/>
        <v>15804.3</v>
      </c>
      <c r="N418" s="13">
        <f>N419</f>
        <v>0</v>
      </c>
      <c r="O418" s="87">
        <f t="shared" si="86"/>
        <v>15804.3</v>
      </c>
      <c r="P418" s="13">
        <f>P419</f>
        <v>0</v>
      </c>
      <c r="Q418" s="87">
        <f t="shared" si="84"/>
        <v>15804.3</v>
      </c>
      <c r="R418" s="13">
        <f>R419</f>
        <v>0</v>
      </c>
      <c r="S418" s="87">
        <f t="shared" si="95"/>
        <v>15804.3</v>
      </c>
    </row>
    <row r="419" spans="1:19" ht="33">
      <c r="A419" s="62" t="str">
        <f ca="1">IF(ISERROR(MATCH(E419,Код_КЦСР,0)),"",INDIRECT(ADDRESS(MATCH(E419,Код_КЦСР,0)+1,2,,,"КЦСР")))</f>
        <v>Формирование и обеспечение сохранности муниципального земельно-имущественного комплекса</v>
      </c>
      <c r="B419" s="115">
        <v>803</v>
      </c>
      <c r="C419" s="8" t="s">
        <v>224</v>
      </c>
      <c r="D419" s="8" t="s">
        <v>230</v>
      </c>
      <c r="E419" s="115" t="s">
        <v>64</v>
      </c>
      <c r="F419" s="115"/>
      <c r="G419" s="70"/>
      <c r="H419" s="70">
        <f>H420</f>
        <v>15804.3</v>
      </c>
      <c r="I419" s="70">
        <f t="shared" si="91"/>
        <v>15804.3</v>
      </c>
      <c r="J419" s="70">
        <f>J420</f>
        <v>0</v>
      </c>
      <c r="K419" s="87">
        <f t="shared" si="92"/>
        <v>15804.3</v>
      </c>
      <c r="L419" s="13">
        <f>L420</f>
        <v>0</v>
      </c>
      <c r="M419" s="87">
        <f t="shared" si="85"/>
        <v>15804.3</v>
      </c>
      <c r="N419" s="13">
        <f>N420</f>
        <v>0</v>
      </c>
      <c r="O419" s="87">
        <f t="shared" si="86"/>
        <v>15804.3</v>
      </c>
      <c r="P419" s="13">
        <f>P420</f>
        <v>0</v>
      </c>
      <c r="Q419" s="87">
        <f t="shared" si="84"/>
        <v>15804.3</v>
      </c>
      <c r="R419" s="13">
        <f>R420</f>
        <v>0</v>
      </c>
      <c r="S419" s="87">
        <f t="shared" si="95"/>
        <v>15804.3</v>
      </c>
    </row>
    <row r="420" spans="1:19" ht="12.75">
      <c r="A420" s="62" t="str">
        <f ca="1">IF(ISERROR(MATCH(F420,Код_КВР,0)),"",INDIRECT(ADDRESS(MATCH(F420,Код_КВР,0)+1,2,,,"КВР")))</f>
        <v>Закупка товаров, работ и услуг для муниципальных нужд</v>
      </c>
      <c r="B420" s="115">
        <v>803</v>
      </c>
      <c r="C420" s="8" t="s">
        <v>224</v>
      </c>
      <c r="D420" s="8" t="s">
        <v>230</v>
      </c>
      <c r="E420" s="115" t="s">
        <v>64</v>
      </c>
      <c r="F420" s="115">
        <v>200</v>
      </c>
      <c r="G420" s="70"/>
      <c r="H420" s="70">
        <f>H421</f>
        <v>15804.3</v>
      </c>
      <c r="I420" s="70">
        <f t="shared" si="91"/>
        <v>15804.3</v>
      </c>
      <c r="J420" s="70">
        <f>J421</f>
        <v>0</v>
      </c>
      <c r="K420" s="87">
        <f t="shared" si="92"/>
        <v>15804.3</v>
      </c>
      <c r="L420" s="13">
        <f>L421</f>
        <v>0</v>
      </c>
      <c r="M420" s="87">
        <f t="shared" si="85"/>
        <v>15804.3</v>
      </c>
      <c r="N420" s="13">
        <f>N421</f>
        <v>0</v>
      </c>
      <c r="O420" s="87">
        <f t="shared" si="86"/>
        <v>15804.3</v>
      </c>
      <c r="P420" s="13">
        <f>P421</f>
        <v>0</v>
      </c>
      <c r="Q420" s="87">
        <f t="shared" si="84"/>
        <v>15804.3</v>
      </c>
      <c r="R420" s="13">
        <f>R421</f>
        <v>0</v>
      </c>
      <c r="S420" s="87">
        <f t="shared" si="95"/>
        <v>15804.3</v>
      </c>
    </row>
    <row r="421" spans="1:19" ht="33">
      <c r="A421" s="62" t="str">
        <f ca="1">IF(ISERROR(MATCH(F421,Код_КВР,0)),"",INDIRECT(ADDRESS(MATCH(F421,Код_КВР,0)+1,2,,,"КВР")))</f>
        <v>Иные закупки товаров, работ и услуг для обеспечения муниципальных нужд</v>
      </c>
      <c r="B421" s="115">
        <v>803</v>
      </c>
      <c r="C421" s="8" t="s">
        <v>224</v>
      </c>
      <c r="D421" s="8" t="s">
        <v>230</v>
      </c>
      <c r="E421" s="115" t="s">
        <v>64</v>
      </c>
      <c r="F421" s="115">
        <v>240</v>
      </c>
      <c r="G421" s="70"/>
      <c r="H421" s="70">
        <f>H422</f>
        <v>15804.3</v>
      </c>
      <c r="I421" s="70">
        <f t="shared" si="91"/>
        <v>15804.3</v>
      </c>
      <c r="J421" s="70">
        <f>J422</f>
        <v>0</v>
      </c>
      <c r="K421" s="87">
        <f t="shared" si="92"/>
        <v>15804.3</v>
      </c>
      <c r="L421" s="13">
        <f>L422</f>
        <v>0</v>
      </c>
      <c r="M421" s="87">
        <f t="shared" si="85"/>
        <v>15804.3</v>
      </c>
      <c r="N421" s="13">
        <f>N422</f>
        <v>0</v>
      </c>
      <c r="O421" s="87">
        <f t="shared" si="86"/>
        <v>15804.3</v>
      </c>
      <c r="P421" s="13">
        <f>P422</f>
        <v>0</v>
      </c>
      <c r="Q421" s="87">
        <f aca="true" t="shared" si="96" ref="Q421:Q497">O421+P421</f>
        <v>15804.3</v>
      </c>
      <c r="R421" s="13">
        <f>R422</f>
        <v>0</v>
      </c>
      <c r="S421" s="87">
        <f t="shared" si="95"/>
        <v>15804.3</v>
      </c>
    </row>
    <row r="422" spans="1:19" ht="33">
      <c r="A422" s="62" t="str">
        <f ca="1">IF(ISERROR(MATCH(F422,Код_КВР,0)),"",INDIRECT(ADDRESS(MATCH(F422,Код_КВР,0)+1,2,,,"КВР")))</f>
        <v xml:space="preserve">Прочая закупка товаров, работ и услуг для обеспечения муниципальных нужд         </v>
      </c>
      <c r="B422" s="115">
        <v>803</v>
      </c>
      <c r="C422" s="8" t="s">
        <v>224</v>
      </c>
      <c r="D422" s="8" t="s">
        <v>230</v>
      </c>
      <c r="E422" s="115" t="s">
        <v>64</v>
      </c>
      <c r="F422" s="115">
        <v>244</v>
      </c>
      <c r="G422" s="70"/>
      <c r="H422" s="70">
        <v>15804.3</v>
      </c>
      <c r="I422" s="70">
        <f t="shared" si="91"/>
        <v>15804.3</v>
      </c>
      <c r="J422" s="70"/>
      <c r="K422" s="87">
        <f t="shared" si="92"/>
        <v>15804.3</v>
      </c>
      <c r="L422" s="13"/>
      <c r="M422" s="87">
        <f t="shared" si="85"/>
        <v>15804.3</v>
      </c>
      <c r="N422" s="13"/>
      <c r="O422" s="87">
        <f t="shared" si="86"/>
        <v>15804.3</v>
      </c>
      <c r="P422" s="13"/>
      <c r="Q422" s="87">
        <f t="shared" si="96"/>
        <v>15804.3</v>
      </c>
      <c r="R422" s="13"/>
      <c r="S422" s="87">
        <f t="shared" si="95"/>
        <v>15804.3</v>
      </c>
    </row>
    <row r="423" spans="1:19" ht="12.75">
      <c r="A423" s="79" t="s">
        <v>188</v>
      </c>
      <c r="B423" s="115">
        <v>803</v>
      </c>
      <c r="C423" s="8" t="s">
        <v>224</v>
      </c>
      <c r="D423" s="8" t="s">
        <v>227</v>
      </c>
      <c r="E423" s="115"/>
      <c r="F423" s="115"/>
      <c r="G423" s="70">
        <f>G433+G449</f>
        <v>615002.7</v>
      </c>
      <c r="H423" s="70">
        <f>H433+H449</f>
        <v>51383.6</v>
      </c>
      <c r="I423" s="70">
        <f t="shared" si="91"/>
        <v>666386.2999999999</v>
      </c>
      <c r="J423" s="70">
        <f>J433+J449</f>
        <v>0</v>
      </c>
      <c r="K423" s="87">
        <f t="shared" si="92"/>
        <v>666386.2999999999</v>
      </c>
      <c r="L423" s="13">
        <f>L433+L449</f>
        <v>-3913.1000000000004</v>
      </c>
      <c r="M423" s="87">
        <f t="shared" si="85"/>
        <v>662473.2</v>
      </c>
      <c r="N423" s="13">
        <f>N433+N449</f>
        <v>-676.6999999999999</v>
      </c>
      <c r="O423" s="87">
        <f t="shared" si="86"/>
        <v>661796.5</v>
      </c>
      <c r="P423" s="13">
        <f>P433+P449</f>
        <v>0</v>
      </c>
      <c r="Q423" s="87">
        <f t="shared" si="96"/>
        <v>661796.5</v>
      </c>
      <c r="R423" s="13">
        <f>R433+R449+R424</f>
        <v>-5879.799999999999</v>
      </c>
      <c r="S423" s="87">
        <f t="shared" si="95"/>
        <v>655916.7</v>
      </c>
    </row>
    <row r="424" spans="1:19" s="94" customFormat="1" ht="33">
      <c r="A424" s="62" t="str">
        <f ca="1">IF(ISERROR(MATCH(E424,Код_КЦСР,0)),"",INDIRECT(ADDRESS(MATCH(E424,Код_КЦСР,0)+1,2,,,"КЦСР")))</f>
        <v>Муниципальная программа «Социальная поддержка граждан» на 2014-2018 годы</v>
      </c>
      <c r="B424" s="132">
        <v>803</v>
      </c>
      <c r="C424" s="8" t="s">
        <v>224</v>
      </c>
      <c r="D424" s="8" t="s">
        <v>227</v>
      </c>
      <c r="E424" s="132" t="s">
        <v>6</v>
      </c>
      <c r="F424" s="132"/>
      <c r="G424" s="70"/>
      <c r="H424" s="70"/>
      <c r="I424" s="70"/>
      <c r="J424" s="70"/>
      <c r="K424" s="87"/>
      <c r="L424" s="13"/>
      <c r="M424" s="87"/>
      <c r="N424" s="13"/>
      <c r="O424" s="87"/>
      <c r="P424" s="13"/>
      <c r="Q424" s="87"/>
      <c r="R424" s="13">
        <f>R425+R429</f>
        <v>150</v>
      </c>
      <c r="S424" s="87">
        <f t="shared" si="95"/>
        <v>150</v>
      </c>
    </row>
    <row r="425" spans="1:19" s="94" customFormat="1" ht="57" customHeight="1">
      <c r="A425" s="62" t="str">
        <f ca="1">IF(ISERROR(MATCH(E425,Код_КЦСР,0)),"",INDIRECT(ADDRESS(MATCH(E425,Код_КЦСР,0)+1,2,,,"КЦСР")))</f>
        <v>Мероприятия по подпрограмме "Безбарьерная среда" в рамках софинансирования с государственной программой "Социальная поддержка граждан в Вологодской области на 2014-2018 годы"</v>
      </c>
      <c r="B425" s="132">
        <v>803</v>
      </c>
      <c r="C425" s="8" t="s">
        <v>224</v>
      </c>
      <c r="D425" s="8" t="s">
        <v>227</v>
      </c>
      <c r="E425" s="132" t="s">
        <v>676</v>
      </c>
      <c r="F425" s="132"/>
      <c r="G425" s="70"/>
      <c r="H425" s="70"/>
      <c r="I425" s="70"/>
      <c r="J425" s="70"/>
      <c r="K425" s="87"/>
      <c r="L425" s="13"/>
      <c r="M425" s="87"/>
      <c r="N425" s="13"/>
      <c r="O425" s="87"/>
      <c r="P425" s="13"/>
      <c r="Q425" s="87"/>
      <c r="R425" s="13">
        <f>R426</f>
        <v>75</v>
      </c>
      <c r="S425" s="87">
        <f t="shared" si="95"/>
        <v>75</v>
      </c>
    </row>
    <row r="426" spans="1:19" s="94" customFormat="1" ht="27.2" customHeight="1">
      <c r="A426" s="62" t="str">
        <f ca="1">IF(ISERROR(MATCH(F426,Код_КВР,0)),"",INDIRECT(ADDRESS(MATCH(F426,Код_КВР,0)+1,2,,,"КВР")))</f>
        <v>Закупка товаров, работ и услуг для муниципальных нужд</v>
      </c>
      <c r="B426" s="132">
        <v>803</v>
      </c>
      <c r="C426" s="8" t="s">
        <v>224</v>
      </c>
      <c r="D426" s="8" t="s">
        <v>227</v>
      </c>
      <c r="E426" s="132" t="s">
        <v>676</v>
      </c>
      <c r="F426" s="132">
        <v>200</v>
      </c>
      <c r="G426" s="70"/>
      <c r="H426" s="70"/>
      <c r="I426" s="70"/>
      <c r="J426" s="70"/>
      <c r="K426" s="87"/>
      <c r="L426" s="13"/>
      <c r="M426" s="87"/>
      <c r="N426" s="13"/>
      <c r="O426" s="87"/>
      <c r="P426" s="13"/>
      <c r="Q426" s="87"/>
      <c r="R426" s="13">
        <f>R427</f>
        <v>75</v>
      </c>
      <c r="S426" s="87">
        <f t="shared" si="95"/>
        <v>75</v>
      </c>
    </row>
    <row r="427" spans="1:19" s="94" customFormat="1" ht="33">
      <c r="A427" s="62" t="str">
        <f ca="1">IF(ISERROR(MATCH(F427,Код_КВР,0)),"",INDIRECT(ADDRESS(MATCH(F427,Код_КВР,0)+1,2,,,"КВР")))</f>
        <v>Иные закупки товаров, работ и услуг для обеспечения муниципальных нужд</v>
      </c>
      <c r="B427" s="132">
        <v>803</v>
      </c>
      <c r="C427" s="8" t="s">
        <v>224</v>
      </c>
      <c r="D427" s="8" t="s">
        <v>227</v>
      </c>
      <c r="E427" s="132" t="s">
        <v>676</v>
      </c>
      <c r="F427" s="132">
        <v>240</v>
      </c>
      <c r="G427" s="70"/>
      <c r="H427" s="70"/>
      <c r="I427" s="70"/>
      <c r="J427" s="70"/>
      <c r="K427" s="87"/>
      <c r="L427" s="13"/>
      <c r="M427" s="87"/>
      <c r="N427" s="13"/>
      <c r="O427" s="87"/>
      <c r="P427" s="13"/>
      <c r="Q427" s="87"/>
      <c r="R427" s="13">
        <f>R428</f>
        <v>75</v>
      </c>
      <c r="S427" s="87">
        <f t="shared" si="95"/>
        <v>75</v>
      </c>
    </row>
    <row r="428" spans="1:19" s="94" customFormat="1" ht="33">
      <c r="A428" s="62" t="str">
        <f ca="1">IF(ISERROR(MATCH(F428,Код_КВР,0)),"",INDIRECT(ADDRESS(MATCH(F428,Код_КВР,0)+1,2,,,"КВР")))</f>
        <v xml:space="preserve">Прочая закупка товаров, работ и услуг для обеспечения муниципальных нужд         </v>
      </c>
      <c r="B428" s="132">
        <v>803</v>
      </c>
      <c r="C428" s="8" t="s">
        <v>224</v>
      </c>
      <c r="D428" s="8" t="s">
        <v>227</v>
      </c>
      <c r="E428" s="132" t="s">
        <v>676</v>
      </c>
      <c r="F428" s="132">
        <v>244</v>
      </c>
      <c r="G428" s="70"/>
      <c r="H428" s="70"/>
      <c r="I428" s="70"/>
      <c r="J428" s="70"/>
      <c r="K428" s="87"/>
      <c r="L428" s="13"/>
      <c r="M428" s="87"/>
      <c r="N428" s="13"/>
      <c r="O428" s="87"/>
      <c r="P428" s="13"/>
      <c r="Q428" s="87"/>
      <c r="R428" s="13">
        <v>75</v>
      </c>
      <c r="S428" s="87">
        <f t="shared" si="95"/>
        <v>75</v>
      </c>
    </row>
    <row r="429" spans="1:19" s="94" customFormat="1" ht="50.25" customHeight="1">
      <c r="A429" s="62" t="str">
        <f ca="1">IF(ISERROR(MATCH(E429,Код_КЦСР,0)),"",INDIRECT(ADDRESS(MATCH(E429,Код_КЦСР,0)+1,2,,,"КЦСР")))</f>
        <v>Мероприятия государственной программы Российской Федерации "Доступная среда" на 2011-2015 годы за счет средств федерального бюджета</v>
      </c>
      <c r="B429" s="130">
        <v>803</v>
      </c>
      <c r="C429" s="8" t="s">
        <v>224</v>
      </c>
      <c r="D429" s="8" t="s">
        <v>227</v>
      </c>
      <c r="E429" s="130" t="s">
        <v>656</v>
      </c>
      <c r="F429" s="130"/>
      <c r="G429" s="70"/>
      <c r="H429" s="70"/>
      <c r="I429" s="70"/>
      <c r="J429" s="70"/>
      <c r="K429" s="87"/>
      <c r="L429" s="13"/>
      <c r="M429" s="87"/>
      <c r="N429" s="13"/>
      <c r="O429" s="87"/>
      <c r="P429" s="13"/>
      <c r="Q429" s="87"/>
      <c r="R429" s="13">
        <f>R430</f>
        <v>75</v>
      </c>
      <c r="S429" s="87">
        <f t="shared" si="95"/>
        <v>75</v>
      </c>
    </row>
    <row r="430" spans="1:19" s="94" customFormat="1" ht="33.75" customHeight="1">
      <c r="A430" s="62" t="str">
        <f ca="1">IF(ISERROR(MATCH(F430,Код_КВР,0)),"",INDIRECT(ADDRESS(MATCH(F430,Код_КВР,0)+1,2,,,"КВР")))</f>
        <v>Закупка товаров, работ и услуг для муниципальных нужд</v>
      </c>
      <c r="B430" s="130">
        <v>803</v>
      </c>
      <c r="C430" s="8" t="s">
        <v>224</v>
      </c>
      <c r="D430" s="8" t="s">
        <v>227</v>
      </c>
      <c r="E430" s="130" t="s">
        <v>656</v>
      </c>
      <c r="F430" s="130">
        <v>200</v>
      </c>
      <c r="G430" s="70"/>
      <c r="H430" s="70"/>
      <c r="I430" s="70"/>
      <c r="J430" s="70"/>
      <c r="K430" s="87"/>
      <c r="L430" s="13"/>
      <c r="M430" s="87"/>
      <c r="N430" s="13"/>
      <c r="O430" s="87"/>
      <c r="P430" s="13"/>
      <c r="Q430" s="87"/>
      <c r="R430" s="13">
        <f>R431</f>
        <v>75</v>
      </c>
      <c r="S430" s="87">
        <f t="shared" si="95"/>
        <v>75</v>
      </c>
    </row>
    <row r="431" spans="1:19" s="94" customFormat="1" ht="33">
      <c r="A431" s="62" t="str">
        <f ca="1">IF(ISERROR(MATCH(F431,Код_КВР,0)),"",INDIRECT(ADDRESS(MATCH(F431,Код_КВР,0)+1,2,,,"КВР")))</f>
        <v>Иные закупки товаров, работ и услуг для обеспечения муниципальных нужд</v>
      </c>
      <c r="B431" s="130">
        <v>803</v>
      </c>
      <c r="C431" s="8" t="s">
        <v>224</v>
      </c>
      <c r="D431" s="8" t="s">
        <v>227</v>
      </c>
      <c r="E431" s="130" t="s">
        <v>656</v>
      </c>
      <c r="F431" s="130">
        <v>240</v>
      </c>
      <c r="G431" s="70"/>
      <c r="H431" s="70"/>
      <c r="I431" s="70"/>
      <c r="J431" s="70"/>
      <c r="K431" s="87"/>
      <c r="L431" s="13"/>
      <c r="M431" s="87"/>
      <c r="N431" s="13"/>
      <c r="O431" s="87"/>
      <c r="P431" s="13"/>
      <c r="Q431" s="87"/>
      <c r="R431" s="13">
        <f>R432</f>
        <v>75</v>
      </c>
      <c r="S431" s="87">
        <f t="shared" si="95"/>
        <v>75</v>
      </c>
    </row>
    <row r="432" spans="1:19" s="94" customFormat="1" ht="33">
      <c r="A432" s="62" t="str">
        <f ca="1">IF(ISERROR(MATCH(F432,Код_КВР,0)),"",INDIRECT(ADDRESS(MATCH(F432,Код_КВР,0)+1,2,,,"КВР")))</f>
        <v xml:space="preserve">Прочая закупка товаров, работ и услуг для обеспечения муниципальных нужд         </v>
      </c>
      <c r="B432" s="130">
        <v>803</v>
      </c>
      <c r="C432" s="8" t="s">
        <v>224</v>
      </c>
      <c r="D432" s="8" t="s">
        <v>227</v>
      </c>
      <c r="E432" s="130" t="s">
        <v>656</v>
      </c>
      <c r="F432" s="130">
        <v>244</v>
      </c>
      <c r="G432" s="70"/>
      <c r="H432" s="70"/>
      <c r="I432" s="70"/>
      <c r="J432" s="70"/>
      <c r="K432" s="87"/>
      <c r="L432" s="13"/>
      <c r="M432" s="87"/>
      <c r="N432" s="13"/>
      <c r="O432" s="87"/>
      <c r="P432" s="13"/>
      <c r="Q432" s="87"/>
      <c r="R432" s="13">
        <v>75</v>
      </c>
      <c r="S432" s="87">
        <f t="shared" si="95"/>
        <v>75</v>
      </c>
    </row>
    <row r="433" spans="1:19" ht="33">
      <c r="A433" s="62" t="str">
        <f ca="1">IF(ISERROR(MATCH(E433,Код_КЦСР,0)),"",INDIRECT(ADDRESS(MATCH(E433,Код_КЦСР,0)+1,2,,,"КЦСР")))</f>
        <v>Муниципальная программа «Развитие жилищно-коммунального хозяйства города Череповца» на 2014-2018 годы</v>
      </c>
      <c r="B433" s="115">
        <v>803</v>
      </c>
      <c r="C433" s="8" t="s">
        <v>224</v>
      </c>
      <c r="D433" s="8" t="s">
        <v>227</v>
      </c>
      <c r="E433" s="115" t="s">
        <v>47</v>
      </c>
      <c r="F433" s="115"/>
      <c r="G433" s="70">
        <f>G434</f>
        <v>580002.7</v>
      </c>
      <c r="H433" s="70">
        <f>H434</f>
        <v>51383.6</v>
      </c>
      <c r="I433" s="70">
        <f t="shared" si="91"/>
        <v>631386.2999999999</v>
      </c>
      <c r="J433" s="70">
        <f>J434</f>
        <v>0</v>
      </c>
      <c r="K433" s="87">
        <f t="shared" si="92"/>
        <v>631386.2999999999</v>
      </c>
      <c r="L433" s="13">
        <f>L434</f>
        <v>-3913.1000000000004</v>
      </c>
      <c r="M433" s="87">
        <f t="shared" si="85"/>
        <v>627473.2</v>
      </c>
      <c r="N433" s="13">
        <f>N434</f>
        <v>-676.6999999999999</v>
      </c>
      <c r="O433" s="87">
        <f t="shared" si="86"/>
        <v>626796.5</v>
      </c>
      <c r="P433" s="13">
        <f>P434</f>
        <v>0</v>
      </c>
      <c r="Q433" s="87">
        <f t="shared" si="96"/>
        <v>626796.5</v>
      </c>
      <c r="R433" s="13">
        <f>R434</f>
        <v>-6029.799999999999</v>
      </c>
      <c r="S433" s="87">
        <f t="shared" si="95"/>
        <v>620766.7</v>
      </c>
    </row>
    <row r="434" spans="1:19" ht="21" customHeight="1">
      <c r="A434" s="62" t="str">
        <f ca="1">IF(ISERROR(MATCH(E434,Код_КЦСР,0)),"",INDIRECT(ADDRESS(MATCH(E434,Код_КЦСР,0)+1,2,,,"КЦСР")))</f>
        <v>Развитие благоустройства города</v>
      </c>
      <c r="B434" s="115">
        <v>803</v>
      </c>
      <c r="C434" s="8" t="s">
        <v>224</v>
      </c>
      <c r="D434" s="8" t="s">
        <v>227</v>
      </c>
      <c r="E434" s="115" t="s">
        <v>48</v>
      </c>
      <c r="F434" s="115"/>
      <c r="G434" s="70">
        <f>G435+G445</f>
        <v>580002.7</v>
      </c>
      <c r="H434" s="70">
        <f>H435+H445</f>
        <v>51383.6</v>
      </c>
      <c r="I434" s="70">
        <f t="shared" si="91"/>
        <v>631386.2999999999</v>
      </c>
      <c r="J434" s="70">
        <f>J435+J445</f>
        <v>0</v>
      </c>
      <c r="K434" s="87">
        <f t="shared" si="92"/>
        <v>631386.2999999999</v>
      </c>
      <c r="L434" s="13">
        <f>L435+L445</f>
        <v>-3913.1000000000004</v>
      </c>
      <c r="M434" s="87">
        <f t="shared" si="85"/>
        <v>627473.2</v>
      </c>
      <c r="N434" s="13">
        <f>N435+N445</f>
        <v>-676.6999999999999</v>
      </c>
      <c r="O434" s="87">
        <f t="shared" si="86"/>
        <v>626796.5</v>
      </c>
      <c r="P434" s="13">
        <f>P435+P445</f>
        <v>0</v>
      </c>
      <c r="Q434" s="87">
        <f t="shared" si="96"/>
        <v>626796.5</v>
      </c>
      <c r="R434" s="13">
        <f>R435+R445</f>
        <v>-6029.799999999999</v>
      </c>
      <c r="S434" s="87">
        <f t="shared" si="95"/>
        <v>620766.7</v>
      </c>
    </row>
    <row r="435" spans="1:19" ht="22.5" customHeight="1">
      <c r="A435" s="62" t="str">
        <f ca="1">IF(ISERROR(MATCH(E435,Код_КЦСР,0)),"",INDIRECT(ADDRESS(MATCH(E435,Код_КЦСР,0)+1,2,,,"КЦСР")))</f>
        <v>Мероприятия по содержанию и ремонту улично-дорожной  сети города</v>
      </c>
      <c r="B435" s="115">
        <v>803</v>
      </c>
      <c r="C435" s="8" t="s">
        <v>224</v>
      </c>
      <c r="D435" s="8" t="s">
        <v>227</v>
      </c>
      <c r="E435" s="115" t="s">
        <v>52</v>
      </c>
      <c r="F435" s="115"/>
      <c r="G435" s="70">
        <f>G436+G438+G442</f>
        <v>352239.7</v>
      </c>
      <c r="H435" s="70">
        <f>H436+H438+H442</f>
        <v>51383.6</v>
      </c>
      <c r="I435" s="70">
        <f t="shared" si="91"/>
        <v>403623.3</v>
      </c>
      <c r="J435" s="70">
        <f>J436+J438+J442</f>
        <v>0</v>
      </c>
      <c r="K435" s="87">
        <f t="shared" si="92"/>
        <v>403623.3</v>
      </c>
      <c r="L435" s="13">
        <f>L436+L438+L442</f>
        <v>-3913.1000000000004</v>
      </c>
      <c r="M435" s="87">
        <f t="shared" si="85"/>
        <v>399710.2</v>
      </c>
      <c r="N435" s="13">
        <f>N436+N438+N442</f>
        <v>-676.6999999999999</v>
      </c>
      <c r="O435" s="87">
        <f t="shared" si="86"/>
        <v>399033.5</v>
      </c>
      <c r="P435" s="13">
        <f>P436+P438+P442</f>
        <v>0</v>
      </c>
      <c r="Q435" s="87">
        <f t="shared" si="96"/>
        <v>399033.5</v>
      </c>
      <c r="R435" s="13">
        <f>R436+R438+R442</f>
        <v>-6029.799999999999</v>
      </c>
      <c r="S435" s="87">
        <f t="shared" si="95"/>
        <v>393003.7</v>
      </c>
    </row>
    <row r="436" spans="1:19" ht="36.75" customHeight="1">
      <c r="A436" s="62" t="str">
        <f aca="true" t="shared" si="97" ref="A436:A444">IF(ISERROR(MATCH(F436,Код_КВР,0)),"",INDIRECT(ADDRESS(MATCH(F436,Код_КВР,0)+1,2,,,"КВР")))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6" s="115">
        <v>803</v>
      </c>
      <c r="C436" s="8" t="s">
        <v>224</v>
      </c>
      <c r="D436" s="8" t="s">
        <v>227</v>
      </c>
      <c r="E436" s="115" t="s">
        <v>52</v>
      </c>
      <c r="F436" s="115">
        <v>100</v>
      </c>
      <c r="G436" s="70">
        <f>G437</f>
        <v>10425.9</v>
      </c>
      <c r="H436" s="70">
        <f>H437</f>
        <v>0</v>
      </c>
      <c r="I436" s="70">
        <f t="shared" si="91"/>
        <v>10425.9</v>
      </c>
      <c r="J436" s="70">
        <f>J437</f>
        <v>0</v>
      </c>
      <c r="K436" s="87">
        <f t="shared" si="92"/>
        <v>10425.9</v>
      </c>
      <c r="L436" s="13">
        <f>L437</f>
        <v>0</v>
      </c>
      <c r="M436" s="87">
        <f aca="true" t="shared" si="98" ref="M436:M503">K436+L436</f>
        <v>10425.9</v>
      </c>
      <c r="N436" s="13">
        <f>N437</f>
        <v>0</v>
      </c>
      <c r="O436" s="87">
        <f aca="true" t="shared" si="99" ref="O436:O503">M436+N436</f>
        <v>10425.9</v>
      </c>
      <c r="P436" s="13">
        <f>P437</f>
        <v>0</v>
      </c>
      <c r="Q436" s="87">
        <f t="shared" si="96"/>
        <v>10425.9</v>
      </c>
      <c r="R436" s="13">
        <f>R437</f>
        <v>0</v>
      </c>
      <c r="S436" s="87">
        <f t="shared" si="95"/>
        <v>10425.9</v>
      </c>
    </row>
    <row r="437" spans="1:19" ht="12.75">
      <c r="A437" s="62" t="str">
        <f ca="1" t="shared" si="97"/>
        <v>Расходы на выплаты персоналу казенных учреждений</v>
      </c>
      <c r="B437" s="115">
        <v>803</v>
      </c>
      <c r="C437" s="8" t="s">
        <v>224</v>
      </c>
      <c r="D437" s="8" t="s">
        <v>227</v>
      </c>
      <c r="E437" s="115" t="s">
        <v>52</v>
      </c>
      <c r="F437" s="115">
        <v>110</v>
      </c>
      <c r="G437" s="70">
        <v>10425.9</v>
      </c>
      <c r="H437" s="65"/>
      <c r="I437" s="70">
        <f t="shared" si="91"/>
        <v>10425.9</v>
      </c>
      <c r="J437" s="65"/>
      <c r="K437" s="87">
        <f t="shared" si="92"/>
        <v>10425.9</v>
      </c>
      <c r="L437" s="87"/>
      <c r="M437" s="87">
        <f t="shared" si="98"/>
        <v>10425.9</v>
      </c>
      <c r="N437" s="87"/>
      <c r="O437" s="87">
        <f t="shared" si="99"/>
        <v>10425.9</v>
      </c>
      <c r="P437" s="87"/>
      <c r="Q437" s="87">
        <f t="shared" si="96"/>
        <v>10425.9</v>
      </c>
      <c r="R437" s="87"/>
      <c r="S437" s="87">
        <f t="shared" si="95"/>
        <v>10425.9</v>
      </c>
    </row>
    <row r="438" spans="1:19" ht="12.75">
      <c r="A438" s="62" t="str">
        <f ca="1" t="shared" si="97"/>
        <v>Закупка товаров, работ и услуг для муниципальных нужд</v>
      </c>
      <c r="B438" s="115">
        <v>803</v>
      </c>
      <c r="C438" s="8" t="s">
        <v>224</v>
      </c>
      <c r="D438" s="8" t="s">
        <v>227</v>
      </c>
      <c r="E438" s="115" t="s">
        <v>52</v>
      </c>
      <c r="F438" s="115">
        <v>200</v>
      </c>
      <c r="G438" s="70">
        <f>G439</f>
        <v>341812.2</v>
      </c>
      <c r="H438" s="70">
        <f>H439</f>
        <v>51383.6</v>
      </c>
      <c r="I438" s="70">
        <f t="shared" si="91"/>
        <v>393195.8</v>
      </c>
      <c r="J438" s="70">
        <f>J439</f>
        <v>0</v>
      </c>
      <c r="K438" s="87">
        <f t="shared" si="92"/>
        <v>393195.8</v>
      </c>
      <c r="L438" s="13">
        <f>L439</f>
        <v>-3913.1000000000004</v>
      </c>
      <c r="M438" s="87">
        <f t="shared" si="98"/>
        <v>389282.7</v>
      </c>
      <c r="N438" s="13">
        <f>N439</f>
        <v>-676.6999999999999</v>
      </c>
      <c r="O438" s="87">
        <f t="shared" si="99"/>
        <v>388606</v>
      </c>
      <c r="P438" s="13">
        <f>P439</f>
        <v>0</v>
      </c>
      <c r="Q438" s="87">
        <f t="shared" si="96"/>
        <v>388606</v>
      </c>
      <c r="R438" s="13">
        <f>R439</f>
        <v>-6029.799999999999</v>
      </c>
      <c r="S438" s="87">
        <f t="shared" si="95"/>
        <v>382576.2</v>
      </c>
    </row>
    <row r="439" spans="1:19" ht="33">
      <c r="A439" s="62" t="str">
        <f ca="1" t="shared" si="97"/>
        <v>Иные закупки товаров, работ и услуг для обеспечения муниципальных нужд</v>
      </c>
      <c r="B439" s="115">
        <v>803</v>
      </c>
      <c r="C439" s="8" t="s">
        <v>224</v>
      </c>
      <c r="D439" s="8" t="s">
        <v>227</v>
      </c>
      <c r="E439" s="115" t="s">
        <v>52</v>
      </c>
      <c r="F439" s="115">
        <v>240</v>
      </c>
      <c r="G439" s="70">
        <f>SUM(G440:G441)</f>
        <v>341812.2</v>
      </c>
      <c r="H439" s="70">
        <f>SUM(H440:H441)</f>
        <v>51383.6</v>
      </c>
      <c r="I439" s="70">
        <f t="shared" si="91"/>
        <v>393195.8</v>
      </c>
      <c r="J439" s="70">
        <f>SUM(J440:J441)</f>
        <v>0</v>
      </c>
      <c r="K439" s="87">
        <f t="shared" si="92"/>
        <v>393195.8</v>
      </c>
      <c r="L439" s="13">
        <f>SUM(L440:L441)</f>
        <v>-3913.1000000000004</v>
      </c>
      <c r="M439" s="87">
        <f t="shared" si="98"/>
        <v>389282.7</v>
      </c>
      <c r="N439" s="13">
        <f>SUM(N440:N441)</f>
        <v>-676.6999999999999</v>
      </c>
      <c r="O439" s="87">
        <f t="shared" si="99"/>
        <v>388606</v>
      </c>
      <c r="P439" s="13">
        <f>SUM(P440:P441)</f>
        <v>0</v>
      </c>
      <c r="Q439" s="87">
        <f t="shared" si="96"/>
        <v>388606</v>
      </c>
      <c r="R439" s="13">
        <f>SUM(R440:R441)</f>
        <v>-6029.799999999999</v>
      </c>
      <c r="S439" s="87">
        <f t="shared" si="95"/>
        <v>382576.2</v>
      </c>
    </row>
    <row r="440" spans="1:19" ht="33" hidden="1">
      <c r="A440" s="62" t="str">
        <f ca="1" t="shared" si="97"/>
        <v>Закупка товаров, работ, услуг в сфере информационно-коммуникационных технологий</v>
      </c>
      <c r="B440" s="115">
        <v>803</v>
      </c>
      <c r="C440" s="8" t="s">
        <v>224</v>
      </c>
      <c r="D440" s="8" t="s">
        <v>227</v>
      </c>
      <c r="E440" s="115" t="s">
        <v>52</v>
      </c>
      <c r="F440" s="115">
        <v>242</v>
      </c>
      <c r="G440" s="70">
        <v>665.5</v>
      </c>
      <c r="H440" s="65"/>
      <c r="I440" s="70">
        <f t="shared" si="91"/>
        <v>665.5</v>
      </c>
      <c r="J440" s="65">
        <v>-665.5</v>
      </c>
      <c r="K440" s="87">
        <f t="shared" si="92"/>
        <v>0</v>
      </c>
      <c r="L440" s="87"/>
      <c r="M440" s="87">
        <f t="shared" si="98"/>
        <v>0</v>
      </c>
      <c r="N440" s="87"/>
      <c r="O440" s="87">
        <f t="shared" si="99"/>
        <v>0</v>
      </c>
      <c r="P440" s="87"/>
      <c r="Q440" s="87">
        <f t="shared" si="96"/>
        <v>0</v>
      </c>
      <c r="R440" s="87"/>
      <c r="S440" s="87">
        <f t="shared" si="95"/>
        <v>0</v>
      </c>
    </row>
    <row r="441" spans="1:19" ht="33">
      <c r="A441" s="62" t="str">
        <f ca="1" t="shared" si="97"/>
        <v xml:space="preserve">Прочая закупка товаров, работ и услуг для обеспечения муниципальных нужд         </v>
      </c>
      <c r="B441" s="115">
        <v>803</v>
      </c>
      <c r="C441" s="8" t="s">
        <v>224</v>
      </c>
      <c r="D441" s="8" t="s">
        <v>227</v>
      </c>
      <c r="E441" s="115" t="s">
        <v>52</v>
      </c>
      <c r="F441" s="115">
        <v>244</v>
      </c>
      <c r="G441" s="70">
        <f>315819.7+25327</f>
        <v>341146.7</v>
      </c>
      <c r="H441" s="65">
        <v>51383.6</v>
      </c>
      <c r="I441" s="70">
        <f t="shared" si="91"/>
        <v>392530.3</v>
      </c>
      <c r="J441" s="65">
        <v>665.5</v>
      </c>
      <c r="K441" s="87">
        <f t="shared" si="92"/>
        <v>393195.8</v>
      </c>
      <c r="L441" s="87">
        <f>10000-13913.1</f>
        <v>-3913.1000000000004</v>
      </c>
      <c r="M441" s="87">
        <f t="shared" si="98"/>
        <v>389282.7</v>
      </c>
      <c r="N441" s="87">
        <f>52.6-729.3</f>
        <v>-676.6999999999999</v>
      </c>
      <c r="O441" s="87">
        <f t="shared" si="99"/>
        <v>388606</v>
      </c>
      <c r="P441" s="87"/>
      <c r="Q441" s="87">
        <f t="shared" si="96"/>
        <v>388606</v>
      </c>
      <c r="R441" s="87">
        <f>69.5-5151.9-400-1020-55-272.5-124.9+1000-75</f>
        <v>-6029.799999999999</v>
      </c>
      <c r="S441" s="87">
        <f t="shared" si="95"/>
        <v>382576.2</v>
      </c>
    </row>
    <row r="442" spans="1:19" ht="12.75">
      <c r="A442" s="62" t="str">
        <f ca="1" t="shared" si="97"/>
        <v>Иные бюджетные ассигнования</v>
      </c>
      <c r="B442" s="115">
        <v>803</v>
      </c>
      <c r="C442" s="8" t="s">
        <v>224</v>
      </c>
      <c r="D442" s="8" t="s">
        <v>227</v>
      </c>
      <c r="E442" s="115" t="s">
        <v>52</v>
      </c>
      <c r="F442" s="115">
        <v>800</v>
      </c>
      <c r="G442" s="70">
        <f>G443</f>
        <v>1.6</v>
      </c>
      <c r="H442" s="70">
        <f>H443</f>
        <v>0</v>
      </c>
      <c r="I442" s="70">
        <f t="shared" si="91"/>
        <v>1.6</v>
      </c>
      <c r="J442" s="70">
        <f>J443</f>
        <v>0</v>
      </c>
      <c r="K442" s="87">
        <f t="shared" si="92"/>
        <v>1.6</v>
      </c>
      <c r="L442" s="13">
        <f>L443</f>
        <v>0</v>
      </c>
      <c r="M442" s="87">
        <f t="shared" si="98"/>
        <v>1.6</v>
      </c>
      <c r="N442" s="13">
        <f>N443</f>
        <v>0</v>
      </c>
      <c r="O442" s="87">
        <f t="shared" si="99"/>
        <v>1.6</v>
      </c>
      <c r="P442" s="13">
        <f>P443</f>
        <v>0</v>
      </c>
      <c r="Q442" s="87">
        <f t="shared" si="96"/>
        <v>1.6</v>
      </c>
      <c r="R442" s="13">
        <f>R443</f>
        <v>0</v>
      </c>
      <c r="S442" s="87">
        <f t="shared" si="95"/>
        <v>1.6</v>
      </c>
    </row>
    <row r="443" spans="1:19" ht="12.75">
      <c r="A443" s="62" t="str">
        <f ca="1" t="shared" si="97"/>
        <v>Уплата налогов, сборов и иных платежей</v>
      </c>
      <c r="B443" s="115">
        <v>803</v>
      </c>
      <c r="C443" s="8" t="s">
        <v>224</v>
      </c>
      <c r="D443" s="8" t="s">
        <v>227</v>
      </c>
      <c r="E443" s="115" t="s">
        <v>52</v>
      </c>
      <c r="F443" s="115">
        <v>850</v>
      </c>
      <c r="G443" s="70">
        <f>G444</f>
        <v>1.6</v>
      </c>
      <c r="H443" s="70">
        <f>H444</f>
        <v>0</v>
      </c>
      <c r="I443" s="70">
        <f t="shared" si="91"/>
        <v>1.6</v>
      </c>
      <c r="J443" s="70">
        <f>J444</f>
        <v>0</v>
      </c>
      <c r="K443" s="87">
        <f t="shared" si="92"/>
        <v>1.6</v>
      </c>
      <c r="L443" s="13">
        <f>L444</f>
        <v>0</v>
      </c>
      <c r="M443" s="87">
        <f t="shared" si="98"/>
        <v>1.6</v>
      </c>
      <c r="N443" s="13">
        <f>N444</f>
        <v>0</v>
      </c>
      <c r="O443" s="87">
        <f t="shared" si="99"/>
        <v>1.6</v>
      </c>
      <c r="P443" s="13">
        <f>P444</f>
        <v>0</v>
      </c>
      <c r="Q443" s="87">
        <f t="shared" si="96"/>
        <v>1.6</v>
      </c>
      <c r="R443" s="13">
        <f>R444</f>
        <v>0</v>
      </c>
      <c r="S443" s="87">
        <f t="shared" si="95"/>
        <v>1.6</v>
      </c>
    </row>
    <row r="444" spans="1:19" ht="12.75">
      <c r="A444" s="62" t="str">
        <f ca="1" t="shared" si="97"/>
        <v>Уплата прочих налогов, сборов и иных платежей</v>
      </c>
      <c r="B444" s="115">
        <v>803</v>
      </c>
      <c r="C444" s="8" t="s">
        <v>224</v>
      </c>
      <c r="D444" s="8" t="s">
        <v>227</v>
      </c>
      <c r="E444" s="115" t="s">
        <v>52</v>
      </c>
      <c r="F444" s="115">
        <v>852</v>
      </c>
      <c r="G444" s="70">
        <v>1.6</v>
      </c>
      <c r="H444" s="65"/>
      <c r="I444" s="70">
        <f t="shared" si="91"/>
        <v>1.6</v>
      </c>
      <c r="J444" s="65"/>
      <c r="K444" s="87">
        <f t="shared" si="92"/>
        <v>1.6</v>
      </c>
      <c r="L444" s="87"/>
      <c r="M444" s="87">
        <f t="shared" si="98"/>
        <v>1.6</v>
      </c>
      <c r="N444" s="87"/>
      <c r="O444" s="87">
        <f t="shared" si="99"/>
        <v>1.6</v>
      </c>
      <c r="P444" s="87"/>
      <c r="Q444" s="87">
        <f t="shared" si="96"/>
        <v>1.6</v>
      </c>
      <c r="R444" s="87"/>
      <c r="S444" s="87">
        <f t="shared" si="95"/>
        <v>1.6</v>
      </c>
    </row>
    <row r="445" spans="1:19" ht="49.5">
      <c r="A445" s="62" t="str">
        <f ca="1">IF(ISERROR(MATCH(E445,Код_КЦСР,0)),"",INDIRECT(ADDRESS(MATCH(E445,Код_КЦСР,0)+1,2,,,"КЦСР")))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445" s="115">
        <v>803</v>
      </c>
      <c r="C445" s="8" t="s">
        <v>224</v>
      </c>
      <c r="D445" s="8" t="s">
        <v>227</v>
      </c>
      <c r="E445" s="115" t="s">
        <v>439</v>
      </c>
      <c r="F445" s="115"/>
      <c r="G445" s="70">
        <f aca="true" t="shared" si="100" ref="G445:R447">G446</f>
        <v>227763</v>
      </c>
      <c r="H445" s="70">
        <f t="shared" si="100"/>
        <v>0</v>
      </c>
      <c r="I445" s="70">
        <f t="shared" si="91"/>
        <v>227763</v>
      </c>
      <c r="J445" s="70">
        <f t="shared" si="100"/>
        <v>0</v>
      </c>
      <c r="K445" s="87">
        <f t="shared" si="92"/>
        <v>227763</v>
      </c>
      <c r="L445" s="13">
        <f t="shared" si="100"/>
        <v>0</v>
      </c>
      <c r="M445" s="87">
        <f t="shared" si="98"/>
        <v>227763</v>
      </c>
      <c r="N445" s="13">
        <f t="shared" si="100"/>
        <v>0</v>
      </c>
      <c r="O445" s="87">
        <f t="shared" si="99"/>
        <v>227763</v>
      </c>
      <c r="P445" s="13">
        <f t="shared" si="100"/>
        <v>0</v>
      </c>
      <c r="Q445" s="87">
        <f t="shared" si="96"/>
        <v>227763</v>
      </c>
      <c r="R445" s="13">
        <f t="shared" si="100"/>
        <v>0</v>
      </c>
      <c r="S445" s="87">
        <f t="shared" si="95"/>
        <v>227763</v>
      </c>
    </row>
    <row r="446" spans="1:19" ht="12.75">
      <c r="A446" s="62" t="str">
        <f ca="1">IF(ISERROR(MATCH(F446,Код_КВР,0)),"",INDIRECT(ADDRESS(MATCH(F446,Код_КВР,0)+1,2,,,"КВР")))</f>
        <v>Закупка товаров, работ и услуг для муниципальных нужд</v>
      </c>
      <c r="B446" s="115">
        <v>803</v>
      </c>
      <c r="C446" s="8" t="s">
        <v>224</v>
      </c>
      <c r="D446" s="8" t="s">
        <v>227</v>
      </c>
      <c r="E446" s="115" t="s">
        <v>439</v>
      </c>
      <c r="F446" s="115">
        <v>200</v>
      </c>
      <c r="G446" s="70">
        <f t="shared" si="100"/>
        <v>227763</v>
      </c>
      <c r="H446" s="70">
        <f t="shared" si="100"/>
        <v>0</v>
      </c>
      <c r="I446" s="70">
        <f t="shared" si="91"/>
        <v>227763</v>
      </c>
      <c r="J446" s="70">
        <f t="shared" si="100"/>
        <v>0</v>
      </c>
      <c r="K446" s="87">
        <f t="shared" si="92"/>
        <v>227763</v>
      </c>
      <c r="L446" s="13">
        <f t="shared" si="100"/>
        <v>0</v>
      </c>
      <c r="M446" s="87">
        <f t="shared" si="98"/>
        <v>227763</v>
      </c>
      <c r="N446" s="13">
        <f t="shared" si="100"/>
        <v>0</v>
      </c>
      <c r="O446" s="87">
        <f t="shared" si="99"/>
        <v>227763</v>
      </c>
      <c r="P446" s="13">
        <f t="shared" si="100"/>
        <v>0</v>
      </c>
      <c r="Q446" s="87">
        <f t="shared" si="96"/>
        <v>227763</v>
      </c>
      <c r="R446" s="13">
        <f t="shared" si="100"/>
        <v>0</v>
      </c>
      <c r="S446" s="87">
        <f t="shared" si="95"/>
        <v>227763</v>
      </c>
    </row>
    <row r="447" spans="1:19" ht="33">
      <c r="A447" s="62" t="str">
        <f ca="1">IF(ISERROR(MATCH(F447,Код_КВР,0)),"",INDIRECT(ADDRESS(MATCH(F447,Код_КВР,0)+1,2,,,"КВР")))</f>
        <v>Иные закупки товаров, работ и услуг для обеспечения муниципальных нужд</v>
      </c>
      <c r="B447" s="115">
        <v>803</v>
      </c>
      <c r="C447" s="8" t="s">
        <v>224</v>
      </c>
      <c r="D447" s="8" t="s">
        <v>227</v>
      </c>
      <c r="E447" s="115" t="s">
        <v>439</v>
      </c>
      <c r="F447" s="115">
        <v>240</v>
      </c>
      <c r="G447" s="70">
        <f t="shared" si="100"/>
        <v>227763</v>
      </c>
      <c r="H447" s="70">
        <f t="shared" si="100"/>
        <v>0</v>
      </c>
      <c r="I447" s="70">
        <f t="shared" si="91"/>
        <v>227763</v>
      </c>
      <c r="J447" s="70">
        <f t="shared" si="100"/>
        <v>0</v>
      </c>
      <c r="K447" s="87">
        <f t="shared" si="92"/>
        <v>227763</v>
      </c>
      <c r="L447" s="13">
        <f t="shared" si="100"/>
        <v>0</v>
      </c>
      <c r="M447" s="87">
        <f t="shared" si="98"/>
        <v>227763</v>
      </c>
      <c r="N447" s="13">
        <f t="shared" si="100"/>
        <v>0</v>
      </c>
      <c r="O447" s="87">
        <f t="shared" si="99"/>
        <v>227763</v>
      </c>
      <c r="P447" s="13">
        <f t="shared" si="100"/>
        <v>0</v>
      </c>
      <c r="Q447" s="87">
        <f t="shared" si="96"/>
        <v>227763</v>
      </c>
      <c r="R447" s="13">
        <f t="shared" si="100"/>
        <v>0</v>
      </c>
      <c r="S447" s="87">
        <f t="shared" si="95"/>
        <v>227763</v>
      </c>
    </row>
    <row r="448" spans="1:19" ht="33">
      <c r="A448" s="62" t="str">
        <f ca="1">IF(ISERROR(MATCH(F448,Код_КВР,0)),"",INDIRECT(ADDRESS(MATCH(F448,Код_КВР,0)+1,2,,,"КВР")))</f>
        <v xml:space="preserve">Прочая закупка товаров, работ и услуг для обеспечения муниципальных нужд         </v>
      </c>
      <c r="B448" s="115">
        <v>803</v>
      </c>
      <c r="C448" s="8" t="s">
        <v>224</v>
      </c>
      <c r="D448" s="8" t="s">
        <v>227</v>
      </c>
      <c r="E448" s="115" t="s">
        <v>439</v>
      </c>
      <c r="F448" s="115">
        <v>244</v>
      </c>
      <c r="G448" s="70">
        <v>227763</v>
      </c>
      <c r="H448" s="65"/>
      <c r="I448" s="70">
        <f t="shared" si="91"/>
        <v>227763</v>
      </c>
      <c r="J448" s="65"/>
      <c r="K448" s="87">
        <f t="shared" si="92"/>
        <v>227763</v>
      </c>
      <c r="L448" s="87"/>
      <c r="M448" s="87">
        <f t="shared" si="98"/>
        <v>227763</v>
      </c>
      <c r="N448" s="87"/>
      <c r="O448" s="87">
        <f t="shared" si="99"/>
        <v>227763</v>
      </c>
      <c r="P448" s="87"/>
      <c r="Q448" s="87">
        <f t="shared" si="96"/>
        <v>227763</v>
      </c>
      <c r="R448" s="87"/>
      <c r="S448" s="87">
        <f t="shared" si="95"/>
        <v>227763</v>
      </c>
    </row>
    <row r="449" spans="1:19" ht="33">
      <c r="A449" s="62" t="str">
        <f ca="1">IF(ISERROR(MATCH(E449,Код_КЦСР,0)),"",INDIRECT(ADDRESS(MATCH(E449,Код_КЦСР,0)+1,2,,,"КЦСР")))</f>
        <v>Непрограммные направления деятельности органов местного самоуправления</v>
      </c>
      <c r="B449" s="115">
        <v>803</v>
      </c>
      <c r="C449" s="8" t="s">
        <v>224</v>
      </c>
      <c r="D449" s="8" t="s">
        <v>227</v>
      </c>
      <c r="E449" s="115" t="s">
        <v>307</v>
      </c>
      <c r="F449" s="115"/>
      <c r="G449" s="70">
        <f aca="true" t="shared" si="101" ref="G449:R452">G450</f>
        <v>35000</v>
      </c>
      <c r="H449" s="70">
        <f t="shared" si="101"/>
        <v>0</v>
      </c>
      <c r="I449" s="70">
        <f t="shared" si="91"/>
        <v>35000</v>
      </c>
      <c r="J449" s="70">
        <f t="shared" si="101"/>
        <v>0</v>
      </c>
      <c r="K449" s="87">
        <f t="shared" si="92"/>
        <v>35000</v>
      </c>
      <c r="L449" s="13">
        <f t="shared" si="101"/>
        <v>0</v>
      </c>
      <c r="M449" s="87">
        <f t="shared" si="98"/>
        <v>35000</v>
      </c>
      <c r="N449" s="13">
        <f t="shared" si="101"/>
        <v>0</v>
      </c>
      <c r="O449" s="87">
        <f t="shared" si="99"/>
        <v>35000</v>
      </c>
      <c r="P449" s="13">
        <f t="shared" si="101"/>
        <v>0</v>
      </c>
      <c r="Q449" s="87">
        <f t="shared" si="96"/>
        <v>35000</v>
      </c>
      <c r="R449" s="13">
        <f t="shared" si="101"/>
        <v>0</v>
      </c>
      <c r="S449" s="87">
        <f t="shared" si="95"/>
        <v>35000</v>
      </c>
    </row>
    <row r="450" spans="1:19" ht="12.75">
      <c r="A450" s="62" t="str">
        <f ca="1">IF(ISERROR(MATCH(E450,Код_КЦСР,0)),"",INDIRECT(ADDRESS(MATCH(E450,Код_КЦСР,0)+1,2,,,"КЦСР")))</f>
        <v>Расходы, не включенные в муниципальные программы города Череповца</v>
      </c>
      <c r="B450" s="115">
        <v>803</v>
      </c>
      <c r="C450" s="8" t="s">
        <v>224</v>
      </c>
      <c r="D450" s="8" t="s">
        <v>227</v>
      </c>
      <c r="E450" s="115" t="s">
        <v>309</v>
      </c>
      <c r="F450" s="115"/>
      <c r="G450" s="70">
        <f t="shared" si="101"/>
        <v>35000</v>
      </c>
      <c r="H450" s="70">
        <f t="shared" si="101"/>
        <v>0</v>
      </c>
      <c r="I450" s="70">
        <f t="shared" si="91"/>
        <v>35000</v>
      </c>
      <c r="J450" s="70">
        <f t="shared" si="101"/>
        <v>0</v>
      </c>
      <c r="K450" s="87">
        <f t="shared" si="92"/>
        <v>35000</v>
      </c>
      <c r="L450" s="13">
        <f t="shared" si="101"/>
        <v>0</v>
      </c>
      <c r="M450" s="87">
        <f t="shared" si="98"/>
        <v>35000</v>
      </c>
      <c r="N450" s="13">
        <f t="shared" si="101"/>
        <v>0</v>
      </c>
      <c r="O450" s="87">
        <f t="shared" si="99"/>
        <v>35000</v>
      </c>
      <c r="P450" s="13">
        <f t="shared" si="101"/>
        <v>0</v>
      </c>
      <c r="Q450" s="87">
        <f t="shared" si="96"/>
        <v>35000</v>
      </c>
      <c r="R450" s="13">
        <f t="shared" si="101"/>
        <v>0</v>
      </c>
      <c r="S450" s="87">
        <f t="shared" si="95"/>
        <v>35000</v>
      </c>
    </row>
    <row r="451" spans="1:19" ht="42.75" customHeight="1">
      <c r="A451" s="62" t="str">
        <f ca="1">IF(ISERROR(MATCH(E451,Код_КЦСР,0)),"",INDIRECT(ADDRESS(MATCH(E451,Код_КЦСР,0)+1,2,,,"КЦСР")))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51" s="115">
        <v>803</v>
      </c>
      <c r="C451" s="8" t="s">
        <v>224</v>
      </c>
      <c r="D451" s="8" t="s">
        <v>227</v>
      </c>
      <c r="E451" s="115" t="s">
        <v>452</v>
      </c>
      <c r="F451" s="115"/>
      <c r="G451" s="70">
        <f t="shared" si="101"/>
        <v>35000</v>
      </c>
      <c r="H451" s="70">
        <f t="shared" si="101"/>
        <v>0</v>
      </c>
      <c r="I451" s="70">
        <f t="shared" si="91"/>
        <v>35000</v>
      </c>
      <c r="J451" s="70">
        <f t="shared" si="101"/>
        <v>0</v>
      </c>
      <c r="K451" s="87">
        <f t="shared" si="92"/>
        <v>35000</v>
      </c>
      <c r="L451" s="13">
        <f t="shared" si="101"/>
        <v>0</v>
      </c>
      <c r="M451" s="87">
        <f t="shared" si="98"/>
        <v>35000</v>
      </c>
      <c r="N451" s="13">
        <f t="shared" si="101"/>
        <v>0</v>
      </c>
      <c r="O451" s="87">
        <f t="shared" si="99"/>
        <v>35000</v>
      </c>
      <c r="P451" s="13">
        <f t="shared" si="101"/>
        <v>0</v>
      </c>
      <c r="Q451" s="87">
        <f t="shared" si="96"/>
        <v>35000</v>
      </c>
      <c r="R451" s="13">
        <f t="shared" si="101"/>
        <v>0</v>
      </c>
      <c r="S451" s="87">
        <f t="shared" si="95"/>
        <v>35000</v>
      </c>
    </row>
    <row r="452" spans="1:19" ht="21" customHeight="1">
      <c r="A452" s="62" t="str">
        <f ca="1">IF(ISERROR(MATCH(F452,Код_КВР,0)),"",INDIRECT(ADDRESS(MATCH(F452,Код_КВР,0)+1,2,,,"КВР")))</f>
        <v>Иные бюджетные ассигнования</v>
      </c>
      <c r="B452" s="115">
        <v>803</v>
      </c>
      <c r="C452" s="8" t="s">
        <v>224</v>
      </c>
      <c r="D452" s="8" t="s">
        <v>227</v>
      </c>
      <c r="E452" s="115" t="s">
        <v>452</v>
      </c>
      <c r="F452" s="115">
        <v>800</v>
      </c>
      <c r="G452" s="70">
        <f t="shared" si="101"/>
        <v>35000</v>
      </c>
      <c r="H452" s="70">
        <f t="shared" si="101"/>
        <v>0</v>
      </c>
      <c r="I452" s="70">
        <f t="shared" si="91"/>
        <v>35000</v>
      </c>
      <c r="J452" s="70">
        <f t="shared" si="101"/>
        <v>0</v>
      </c>
      <c r="K452" s="87">
        <f t="shared" si="92"/>
        <v>35000</v>
      </c>
      <c r="L452" s="13">
        <f t="shared" si="101"/>
        <v>0</v>
      </c>
      <c r="M452" s="87">
        <f t="shared" si="98"/>
        <v>35000</v>
      </c>
      <c r="N452" s="13">
        <f t="shared" si="101"/>
        <v>0</v>
      </c>
      <c r="O452" s="87">
        <f t="shared" si="99"/>
        <v>35000</v>
      </c>
      <c r="P452" s="13">
        <f t="shared" si="101"/>
        <v>0</v>
      </c>
      <c r="Q452" s="87">
        <f t="shared" si="96"/>
        <v>35000</v>
      </c>
      <c r="R452" s="13">
        <f t="shared" si="101"/>
        <v>0</v>
      </c>
      <c r="S452" s="87">
        <f t="shared" si="95"/>
        <v>35000</v>
      </c>
    </row>
    <row r="453" spans="1:19" ht="33">
      <c r="A453" s="62" t="str">
        <f ca="1">IF(ISERROR(MATCH(F453,Код_КВР,0)),"",INDIRECT(ADDRESS(MATCH(F453,Код_КВР,0)+1,2,,,"КВР")))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53" s="115">
        <v>803</v>
      </c>
      <c r="C453" s="8" t="s">
        <v>224</v>
      </c>
      <c r="D453" s="8" t="s">
        <v>227</v>
      </c>
      <c r="E453" s="115" t="s">
        <v>452</v>
      </c>
      <c r="F453" s="115">
        <v>810</v>
      </c>
      <c r="G453" s="70">
        <v>35000</v>
      </c>
      <c r="H453" s="65"/>
      <c r="I453" s="70">
        <f t="shared" si="91"/>
        <v>35000</v>
      </c>
      <c r="J453" s="65"/>
      <c r="K453" s="87">
        <f t="shared" si="92"/>
        <v>35000</v>
      </c>
      <c r="L453" s="87"/>
      <c r="M453" s="87">
        <f t="shared" si="98"/>
        <v>35000</v>
      </c>
      <c r="N453" s="87"/>
      <c r="O453" s="87">
        <f t="shared" si="99"/>
        <v>35000</v>
      </c>
      <c r="P453" s="87"/>
      <c r="Q453" s="87">
        <f t="shared" si="96"/>
        <v>35000</v>
      </c>
      <c r="R453" s="87"/>
      <c r="S453" s="87">
        <f t="shared" si="95"/>
        <v>35000</v>
      </c>
    </row>
    <row r="454" spans="1:19" ht="12.75">
      <c r="A454" s="12" t="s">
        <v>231</v>
      </c>
      <c r="B454" s="115">
        <v>803</v>
      </c>
      <c r="C454" s="8" t="s">
        <v>224</v>
      </c>
      <c r="D454" s="8" t="s">
        <v>204</v>
      </c>
      <c r="E454" s="115"/>
      <c r="F454" s="115"/>
      <c r="G454" s="70">
        <f>G455+G464</f>
        <v>130</v>
      </c>
      <c r="H454" s="70">
        <f>H455+H464</f>
        <v>0</v>
      </c>
      <c r="I454" s="70">
        <f t="shared" si="91"/>
        <v>130</v>
      </c>
      <c r="J454" s="70">
        <f>J455+J464</f>
        <v>0</v>
      </c>
      <c r="K454" s="87">
        <f t="shared" si="92"/>
        <v>130</v>
      </c>
      <c r="L454" s="13">
        <f>L455+L464</f>
        <v>0</v>
      </c>
      <c r="M454" s="87">
        <f t="shared" si="98"/>
        <v>130</v>
      </c>
      <c r="N454" s="13">
        <f>N455+N464</f>
        <v>0</v>
      </c>
      <c r="O454" s="87">
        <f t="shared" si="99"/>
        <v>130</v>
      </c>
      <c r="P454" s="13">
        <f>P455+P464</f>
        <v>0</v>
      </c>
      <c r="Q454" s="87">
        <f t="shared" si="96"/>
        <v>130</v>
      </c>
      <c r="R454" s="13">
        <f>R455+R464</f>
        <v>0</v>
      </c>
      <c r="S454" s="87">
        <f t="shared" si="95"/>
        <v>130</v>
      </c>
    </row>
    <row r="455" spans="1:19" ht="33">
      <c r="A455" s="62" t="str">
        <f ca="1">IF(ISERROR(MATCH(E455,Код_КЦСР,0)),"",INDIRECT(ADDRESS(MATCH(E455,Код_КЦСР,0)+1,2,,,"КЦСР")))</f>
        <v>Муниципальная программа «Развитие внутреннего и въездного туризма в г. Череповце» на 2014-2022 годы</v>
      </c>
      <c r="B455" s="115">
        <v>803</v>
      </c>
      <c r="C455" s="8" t="s">
        <v>224</v>
      </c>
      <c r="D455" s="8" t="s">
        <v>204</v>
      </c>
      <c r="E455" s="115" t="s">
        <v>1</v>
      </c>
      <c r="F455" s="115"/>
      <c r="G455" s="70">
        <f>G456+G460</f>
        <v>50</v>
      </c>
      <c r="H455" s="70">
        <f>H456+H460</f>
        <v>0</v>
      </c>
      <c r="I455" s="70">
        <f t="shared" si="91"/>
        <v>50</v>
      </c>
      <c r="J455" s="70">
        <f>J456+J460</f>
        <v>0</v>
      </c>
      <c r="K455" s="87">
        <f t="shared" si="92"/>
        <v>50</v>
      </c>
      <c r="L455" s="13">
        <f>L456+L460</f>
        <v>0</v>
      </c>
      <c r="M455" s="87">
        <f t="shared" si="98"/>
        <v>50</v>
      </c>
      <c r="N455" s="13">
        <f>N456+N460</f>
        <v>0</v>
      </c>
      <c r="O455" s="87">
        <f t="shared" si="99"/>
        <v>50</v>
      </c>
      <c r="P455" s="13">
        <f>P456+P460</f>
        <v>0</v>
      </c>
      <c r="Q455" s="87">
        <f t="shared" si="96"/>
        <v>50</v>
      </c>
      <c r="R455" s="13">
        <f>R456+R460</f>
        <v>0</v>
      </c>
      <c r="S455" s="87">
        <f t="shared" si="95"/>
        <v>50</v>
      </c>
    </row>
    <row r="456" spans="1:19" ht="33">
      <c r="A456" s="62" t="str">
        <f ca="1">IF(ISERROR(MATCH(E456,Код_КЦСР,0)),"",INDIRECT(ADDRESS(MATCH(E456,Код_КЦСР,0)+1,2,,,"КЦСР")))</f>
        <v>Продвижение городского туристского продукта на российском и международном рынках</v>
      </c>
      <c r="B456" s="115">
        <v>803</v>
      </c>
      <c r="C456" s="8" t="s">
        <v>224</v>
      </c>
      <c r="D456" s="8" t="s">
        <v>204</v>
      </c>
      <c r="E456" s="115" t="s">
        <v>2</v>
      </c>
      <c r="F456" s="115"/>
      <c r="G456" s="70">
        <f aca="true" t="shared" si="102" ref="G456:R458">G457</f>
        <v>22</v>
      </c>
      <c r="H456" s="70">
        <f t="shared" si="102"/>
        <v>0</v>
      </c>
      <c r="I456" s="70">
        <f t="shared" si="91"/>
        <v>22</v>
      </c>
      <c r="J456" s="70">
        <f t="shared" si="102"/>
        <v>0</v>
      </c>
      <c r="K456" s="87">
        <f t="shared" si="92"/>
        <v>22</v>
      </c>
      <c r="L456" s="13">
        <f t="shared" si="102"/>
        <v>0</v>
      </c>
      <c r="M456" s="87">
        <f t="shared" si="98"/>
        <v>22</v>
      </c>
      <c r="N456" s="13">
        <f t="shared" si="102"/>
        <v>0</v>
      </c>
      <c r="O456" s="87">
        <f t="shared" si="99"/>
        <v>22</v>
      </c>
      <c r="P456" s="13">
        <f t="shared" si="102"/>
        <v>0</v>
      </c>
      <c r="Q456" s="87">
        <f t="shared" si="96"/>
        <v>22</v>
      </c>
      <c r="R456" s="13">
        <f t="shared" si="102"/>
        <v>0</v>
      </c>
      <c r="S456" s="87">
        <f t="shared" si="95"/>
        <v>22</v>
      </c>
    </row>
    <row r="457" spans="1:19" ht="12.75">
      <c r="A457" s="62" t="str">
        <f ca="1">IF(ISERROR(MATCH(F457,Код_КВР,0)),"",INDIRECT(ADDRESS(MATCH(F457,Код_КВР,0)+1,2,,,"КВР")))</f>
        <v>Закупка товаров, работ и услуг для муниципальных нужд</v>
      </c>
      <c r="B457" s="115">
        <v>803</v>
      </c>
      <c r="C457" s="8" t="s">
        <v>224</v>
      </c>
      <c r="D457" s="8" t="s">
        <v>204</v>
      </c>
      <c r="E457" s="115" t="s">
        <v>2</v>
      </c>
      <c r="F457" s="115">
        <v>200</v>
      </c>
      <c r="G457" s="70">
        <f t="shared" si="102"/>
        <v>22</v>
      </c>
      <c r="H457" s="70">
        <f t="shared" si="102"/>
        <v>0</v>
      </c>
      <c r="I457" s="70">
        <f t="shared" si="91"/>
        <v>22</v>
      </c>
      <c r="J457" s="70">
        <f t="shared" si="102"/>
        <v>0</v>
      </c>
      <c r="K457" s="87">
        <f t="shared" si="92"/>
        <v>22</v>
      </c>
      <c r="L457" s="13">
        <f t="shared" si="102"/>
        <v>0</v>
      </c>
      <c r="M457" s="87">
        <f t="shared" si="98"/>
        <v>22</v>
      </c>
      <c r="N457" s="13">
        <f t="shared" si="102"/>
        <v>0</v>
      </c>
      <c r="O457" s="87">
        <f t="shared" si="99"/>
        <v>22</v>
      </c>
      <c r="P457" s="13">
        <f t="shared" si="102"/>
        <v>0</v>
      </c>
      <c r="Q457" s="87">
        <f t="shared" si="96"/>
        <v>22</v>
      </c>
      <c r="R457" s="13">
        <f t="shared" si="102"/>
        <v>0</v>
      </c>
      <c r="S457" s="87">
        <f t="shared" si="95"/>
        <v>22</v>
      </c>
    </row>
    <row r="458" spans="1:19" ht="33">
      <c r="A458" s="62" t="str">
        <f ca="1">IF(ISERROR(MATCH(F458,Код_КВР,0)),"",INDIRECT(ADDRESS(MATCH(F458,Код_КВР,0)+1,2,,,"КВР")))</f>
        <v>Иные закупки товаров, работ и услуг для обеспечения муниципальных нужд</v>
      </c>
      <c r="B458" s="115">
        <v>803</v>
      </c>
      <c r="C458" s="8" t="s">
        <v>224</v>
      </c>
      <c r="D458" s="8" t="s">
        <v>204</v>
      </c>
      <c r="E458" s="115" t="s">
        <v>2</v>
      </c>
      <c r="F458" s="115">
        <v>240</v>
      </c>
      <c r="G458" s="70">
        <f t="shared" si="102"/>
        <v>22</v>
      </c>
      <c r="H458" s="70">
        <f t="shared" si="102"/>
        <v>0</v>
      </c>
      <c r="I458" s="70">
        <f t="shared" si="91"/>
        <v>22</v>
      </c>
      <c r="J458" s="70">
        <f t="shared" si="102"/>
        <v>0</v>
      </c>
      <c r="K458" s="87">
        <f t="shared" si="92"/>
        <v>22</v>
      </c>
      <c r="L458" s="13">
        <f t="shared" si="102"/>
        <v>0</v>
      </c>
      <c r="M458" s="87">
        <f t="shared" si="98"/>
        <v>22</v>
      </c>
      <c r="N458" s="13">
        <f t="shared" si="102"/>
        <v>0</v>
      </c>
      <c r="O458" s="87">
        <f t="shared" si="99"/>
        <v>22</v>
      </c>
      <c r="P458" s="13">
        <f t="shared" si="102"/>
        <v>0</v>
      </c>
      <c r="Q458" s="87">
        <f t="shared" si="96"/>
        <v>22</v>
      </c>
      <c r="R458" s="13">
        <f t="shared" si="102"/>
        <v>0</v>
      </c>
      <c r="S458" s="87">
        <f t="shared" si="95"/>
        <v>22</v>
      </c>
    </row>
    <row r="459" spans="1:19" ht="33">
      <c r="A459" s="62" t="str">
        <f ca="1">IF(ISERROR(MATCH(F459,Код_КВР,0)),"",INDIRECT(ADDRESS(MATCH(F459,Код_КВР,0)+1,2,,,"КВР")))</f>
        <v xml:space="preserve">Прочая закупка товаров, работ и услуг для обеспечения муниципальных нужд         </v>
      </c>
      <c r="B459" s="115">
        <v>803</v>
      </c>
      <c r="C459" s="8" t="s">
        <v>224</v>
      </c>
      <c r="D459" s="8" t="s">
        <v>204</v>
      </c>
      <c r="E459" s="115" t="s">
        <v>2</v>
      </c>
      <c r="F459" s="115">
        <v>244</v>
      </c>
      <c r="G459" s="70">
        <v>22</v>
      </c>
      <c r="H459" s="65"/>
      <c r="I459" s="70">
        <f t="shared" si="91"/>
        <v>22</v>
      </c>
      <c r="J459" s="65"/>
      <c r="K459" s="87">
        <f t="shared" si="92"/>
        <v>22</v>
      </c>
      <c r="L459" s="87"/>
      <c r="M459" s="87">
        <f t="shared" si="98"/>
        <v>22</v>
      </c>
      <c r="N459" s="87"/>
      <c r="O459" s="87">
        <f t="shared" si="99"/>
        <v>22</v>
      </c>
      <c r="P459" s="87"/>
      <c r="Q459" s="87">
        <f t="shared" si="96"/>
        <v>22</v>
      </c>
      <c r="R459" s="87"/>
      <c r="S459" s="87">
        <f t="shared" si="95"/>
        <v>22</v>
      </c>
    </row>
    <row r="460" spans="1:19" ht="12.75">
      <c r="A460" s="62" t="str">
        <f ca="1">IF(ISERROR(MATCH(E460,Код_КЦСР,0)),"",INDIRECT(ADDRESS(MATCH(E460,Код_КЦСР,0)+1,2,,,"КЦСР")))</f>
        <v>Развитие туристской, инженерной и транспортной инфраструктур</v>
      </c>
      <c r="B460" s="115">
        <v>803</v>
      </c>
      <c r="C460" s="8" t="s">
        <v>224</v>
      </c>
      <c r="D460" s="8" t="s">
        <v>204</v>
      </c>
      <c r="E460" s="115" t="s">
        <v>4</v>
      </c>
      <c r="F460" s="115"/>
      <c r="G460" s="70">
        <f>G461</f>
        <v>28</v>
      </c>
      <c r="H460" s="65"/>
      <c r="I460" s="70">
        <f t="shared" si="91"/>
        <v>28</v>
      </c>
      <c r="J460" s="65"/>
      <c r="K460" s="87">
        <f t="shared" si="92"/>
        <v>28</v>
      </c>
      <c r="L460" s="87"/>
      <c r="M460" s="87">
        <f t="shared" si="98"/>
        <v>28</v>
      </c>
      <c r="N460" s="87"/>
      <c r="O460" s="87">
        <f t="shared" si="99"/>
        <v>28</v>
      </c>
      <c r="P460" s="87"/>
      <c r="Q460" s="87">
        <f t="shared" si="96"/>
        <v>28</v>
      </c>
      <c r="R460" s="87"/>
      <c r="S460" s="87">
        <f t="shared" si="95"/>
        <v>28</v>
      </c>
    </row>
    <row r="461" spans="1:19" ht="12.75">
      <c r="A461" s="62" t="str">
        <f ca="1">IF(ISERROR(MATCH(F461,Код_КВР,0)),"",INDIRECT(ADDRESS(MATCH(F461,Код_КВР,0)+1,2,,,"КВР")))</f>
        <v>Закупка товаров, работ и услуг для муниципальных нужд</v>
      </c>
      <c r="B461" s="115">
        <v>803</v>
      </c>
      <c r="C461" s="8" t="s">
        <v>224</v>
      </c>
      <c r="D461" s="8" t="s">
        <v>204</v>
      </c>
      <c r="E461" s="115" t="s">
        <v>4</v>
      </c>
      <c r="F461" s="115">
        <v>200</v>
      </c>
      <c r="G461" s="70">
        <f>G462</f>
        <v>28</v>
      </c>
      <c r="H461" s="70">
        <f>H462</f>
        <v>0</v>
      </c>
      <c r="I461" s="70">
        <f t="shared" si="91"/>
        <v>28</v>
      </c>
      <c r="J461" s="70">
        <f>J462</f>
        <v>0</v>
      </c>
      <c r="K461" s="87">
        <f t="shared" si="92"/>
        <v>28</v>
      </c>
      <c r="L461" s="13">
        <f>L462</f>
        <v>0</v>
      </c>
      <c r="M461" s="87">
        <f t="shared" si="98"/>
        <v>28</v>
      </c>
      <c r="N461" s="13">
        <f>N462</f>
        <v>0</v>
      </c>
      <c r="O461" s="87">
        <f t="shared" si="99"/>
        <v>28</v>
      </c>
      <c r="P461" s="13">
        <f>P462</f>
        <v>0</v>
      </c>
      <c r="Q461" s="87">
        <f t="shared" si="96"/>
        <v>28</v>
      </c>
      <c r="R461" s="13">
        <f>R462</f>
        <v>0</v>
      </c>
      <c r="S461" s="87">
        <f t="shared" si="95"/>
        <v>28</v>
      </c>
    </row>
    <row r="462" spans="1:19" ht="33">
      <c r="A462" s="62" t="str">
        <f ca="1">IF(ISERROR(MATCH(F462,Код_КВР,0)),"",INDIRECT(ADDRESS(MATCH(F462,Код_КВР,0)+1,2,,,"КВР")))</f>
        <v>Иные закупки товаров, работ и услуг для обеспечения муниципальных нужд</v>
      </c>
      <c r="B462" s="115">
        <v>803</v>
      </c>
      <c r="C462" s="8" t="s">
        <v>224</v>
      </c>
      <c r="D462" s="8" t="s">
        <v>204</v>
      </c>
      <c r="E462" s="115" t="s">
        <v>4</v>
      </c>
      <c r="F462" s="115">
        <v>240</v>
      </c>
      <c r="G462" s="70">
        <f>G463</f>
        <v>28</v>
      </c>
      <c r="H462" s="65"/>
      <c r="I462" s="70">
        <f t="shared" si="91"/>
        <v>28</v>
      </c>
      <c r="J462" s="65"/>
      <c r="K462" s="87">
        <f t="shared" si="92"/>
        <v>28</v>
      </c>
      <c r="L462" s="87"/>
      <c r="M462" s="87">
        <f t="shared" si="98"/>
        <v>28</v>
      </c>
      <c r="N462" s="87"/>
      <c r="O462" s="87">
        <f t="shared" si="99"/>
        <v>28</v>
      </c>
      <c r="P462" s="87"/>
      <c r="Q462" s="87">
        <f t="shared" si="96"/>
        <v>28</v>
      </c>
      <c r="R462" s="87"/>
      <c r="S462" s="87">
        <f t="shared" si="95"/>
        <v>28</v>
      </c>
    </row>
    <row r="463" spans="1:19" ht="33">
      <c r="A463" s="62" t="str">
        <f ca="1">IF(ISERROR(MATCH(F463,Код_КВР,0)),"",INDIRECT(ADDRESS(MATCH(F463,Код_КВР,0)+1,2,,,"КВР")))</f>
        <v xml:space="preserve">Прочая закупка товаров, работ и услуг для обеспечения муниципальных нужд         </v>
      </c>
      <c r="B463" s="115">
        <v>803</v>
      </c>
      <c r="C463" s="8" t="s">
        <v>224</v>
      </c>
      <c r="D463" s="8" t="s">
        <v>204</v>
      </c>
      <c r="E463" s="115" t="s">
        <v>4</v>
      </c>
      <c r="F463" s="115">
        <v>244</v>
      </c>
      <c r="G463" s="70">
        <v>28</v>
      </c>
      <c r="H463" s="65"/>
      <c r="I463" s="70">
        <f t="shared" si="91"/>
        <v>28</v>
      </c>
      <c r="J463" s="65"/>
      <c r="K463" s="87">
        <f t="shared" si="92"/>
        <v>28</v>
      </c>
      <c r="L463" s="87"/>
      <c r="M463" s="87">
        <f t="shared" si="98"/>
        <v>28</v>
      </c>
      <c r="N463" s="87"/>
      <c r="O463" s="87">
        <f t="shared" si="99"/>
        <v>28</v>
      </c>
      <c r="P463" s="87"/>
      <c r="Q463" s="87">
        <f t="shared" si="96"/>
        <v>28</v>
      </c>
      <c r="R463" s="87"/>
      <c r="S463" s="87">
        <f t="shared" si="95"/>
        <v>28</v>
      </c>
    </row>
    <row r="464" spans="1:19" ht="33">
      <c r="A464" s="62" t="str">
        <f ca="1">IF(ISERROR(MATCH(E464,Код_КЦСР,0)),"",INDIRECT(ADDRESS(MATCH(E464,Код_КЦСР,0)+1,2,,,"КЦСР")))</f>
        <v>Муниципальная программа «Развитие жилищно-коммунального хозяйства города Череповца» на 2014-2018 годы</v>
      </c>
      <c r="B464" s="115">
        <v>803</v>
      </c>
      <c r="C464" s="8" t="s">
        <v>224</v>
      </c>
      <c r="D464" s="8" t="s">
        <v>204</v>
      </c>
      <c r="E464" s="115" t="s">
        <v>47</v>
      </c>
      <c r="F464" s="115"/>
      <c r="G464" s="70">
        <f aca="true" t="shared" si="103" ref="G464:R468">G465</f>
        <v>80</v>
      </c>
      <c r="H464" s="70">
        <f t="shared" si="103"/>
        <v>0</v>
      </c>
      <c r="I464" s="70">
        <f t="shared" si="91"/>
        <v>80</v>
      </c>
      <c r="J464" s="70">
        <f t="shared" si="103"/>
        <v>0</v>
      </c>
      <c r="K464" s="87">
        <f aca="true" t="shared" si="104" ref="K464:K531">I464+J464</f>
        <v>80</v>
      </c>
      <c r="L464" s="13">
        <f t="shared" si="103"/>
        <v>0</v>
      </c>
      <c r="M464" s="87">
        <f t="shared" si="98"/>
        <v>80</v>
      </c>
      <c r="N464" s="13">
        <f t="shared" si="103"/>
        <v>0</v>
      </c>
      <c r="O464" s="87">
        <f t="shared" si="99"/>
        <v>80</v>
      </c>
      <c r="P464" s="13">
        <f t="shared" si="103"/>
        <v>0</v>
      </c>
      <c r="Q464" s="87">
        <f t="shared" si="96"/>
        <v>80</v>
      </c>
      <c r="R464" s="13">
        <f t="shared" si="103"/>
        <v>0</v>
      </c>
      <c r="S464" s="87">
        <f t="shared" si="95"/>
        <v>80</v>
      </c>
    </row>
    <row r="465" spans="1:19" ht="12.75">
      <c r="A465" s="62" t="str">
        <f ca="1">IF(ISERROR(MATCH(E465,Код_КЦСР,0)),"",INDIRECT(ADDRESS(MATCH(E465,Код_КЦСР,0)+1,2,,,"КЦСР")))</f>
        <v>Развитие благоустройства города</v>
      </c>
      <c r="B465" s="115">
        <v>803</v>
      </c>
      <c r="C465" s="8" t="s">
        <v>224</v>
      </c>
      <c r="D465" s="8" t="s">
        <v>204</v>
      </c>
      <c r="E465" s="115" t="s">
        <v>48</v>
      </c>
      <c r="F465" s="115"/>
      <c r="G465" s="70">
        <f t="shared" si="103"/>
        <v>80</v>
      </c>
      <c r="H465" s="70">
        <f t="shared" si="103"/>
        <v>0</v>
      </c>
      <c r="I465" s="70">
        <f t="shared" si="91"/>
        <v>80</v>
      </c>
      <c r="J465" s="70">
        <f t="shared" si="103"/>
        <v>0</v>
      </c>
      <c r="K465" s="87">
        <f t="shared" si="104"/>
        <v>80</v>
      </c>
      <c r="L465" s="13">
        <f t="shared" si="103"/>
        <v>0</v>
      </c>
      <c r="M465" s="87">
        <f t="shared" si="98"/>
        <v>80</v>
      </c>
      <c r="N465" s="13">
        <f t="shared" si="103"/>
        <v>0</v>
      </c>
      <c r="O465" s="87">
        <f t="shared" si="99"/>
        <v>80</v>
      </c>
      <c r="P465" s="13">
        <f t="shared" si="103"/>
        <v>0</v>
      </c>
      <c r="Q465" s="87">
        <f t="shared" si="96"/>
        <v>80</v>
      </c>
      <c r="R465" s="13">
        <f t="shared" si="103"/>
        <v>0</v>
      </c>
      <c r="S465" s="87">
        <f t="shared" si="95"/>
        <v>80</v>
      </c>
    </row>
    <row r="466" spans="1:19" ht="33">
      <c r="A466" s="62" t="str">
        <f ca="1">IF(ISERROR(MATCH(E466,Код_КЦСР,0)),"",INDIRECT(ADDRESS(MATCH(E466,Код_КЦСР,0)+1,2,,,"КЦСР")))</f>
        <v>Мероприятия по решению общегосударственных вопросов и вопросов в области национальной политики</v>
      </c>
      <c r="B466" s="115">
        <v>803</v>
      </c>
      <c r="C466" s="8" t="s">
        <v>224</v>
      </c>
      <c r="D466" s="8" t="s">
        <v>204</v>
      </c>
      <c r="E466" s="115" t="s">
        <v>54</v>
      </c>
      <c r="F466" s="115"/>
      <c r="G466" s="70">
        <f t="shared" si="103"/>
        <v>80</v>
      </c>
      <c r="H466" s="70">
        <f t="shared" si="103"/>
        <v>0</v>
      </c>
      <c r="I466" s="70">
        <f t="shared" si="91"/>
        <v>80</v>
      </c>
      <c r="J466" s="70">
        <f t="shared" si="103"/>
        <v>0</v>
      </c>
      <c r="K466" s="87">
        <f t="shared" si="104"/>
        <v>80</v>
      </c>
      <c r="L466" s="13">
        <f t="shared" si="103"/>
        <v>0</v>
      </c>
      <c r="M466" s="87">
        <f t="shared" si="98"/>
        <v>80</v>
      </c>
      <c r="N466" s="13">
        <f t="shared" si="103"/>
        <v>0</v>
      </c>
      <c r="O466" s="87">
        <f t="shared" si="99"/>
        <v>80</v>
      </c>
      <c r="P466" s="13">
        <f t="shared" si="103"/>
        <v>0</v>
      </c>
      <c r="Q466" s="87">
        <f t="shared" si="96"/>
        <v>80</v>
      </c>
      <c r="R466" s="13">
        <f t="shared" si="103"/>
        <v>0</v>
      </c>
      <c r="S466" s="87">
        <f t="shared" si="95"/>
        <v>80</v>
      </c>
    </row>
    <row r="467" spans="1:19" ht="12.75">
      <c r="A467" s="62" t="str">
        <f ca="1">IF(ISERROR(MATCH(F467,Код_КВР,0)),"",INDIRECT(ADDRESS(MATCH(F467,Код_КВР,0)+1,2,,,"КВР")))</f>
        <v>Закупка товаров, работ и услуг для муниципальных нужд</v>
      </c>
      <c r="B467" s="115">
        <v>803</v>
      </c>
      <c r="C467" s="8" t="s">
        <v>224</v>
      </c>
      <c r="D467" s="8" t="s">
        <v>204</v>
      </c>
      <c r="E467" s="115" t="s">
        <v>54</v>
      </c>
      <c r="F467" s="115">
        <v>200</v>
      </c>
      <c r="G467" s="70">
        <f t="shared" si="103"/>
        <v>80</v>
      </c>
      <c r="H467" s="70">
        <f t="shared" si="103"/>
        <v>0</v>
      </c>
      <c r="I467" s="70">
        <f t="shared" si="91"/>
        <v>80</v>
      </c>
      <c r="J467" s="70">
        <f t="shared" si="103"/>
        <v>0</v>
      </c>
      <c r="K467" s="87">
        <f t="shared" si="104"/>
        <v>80</v>
      </c>
      <c r="L467" s="13">
        <f t="shared" si="103"/>
        <v>0</v>
      </c>
      <c r="M467" s="87">
        <f t="shared" si="98"/>
        <v>80</v>
      </c>
      <c r="N467" s="13">
        <f t="shared" si="103"/>
        <v>0</v>
      </c>
      <c r="O467" s="87">
        <f t="shared" si="99"/>
        <v>80</v>
      </c>
      <c r="P467" s="13">
        <f t="shared" si="103"/>
        <v>0</v>
      </c>
      <c r="Q467" s="87">
        <f t="shared" si="96"/>
        <v>80</v>
      </c>
      <c r="R467" s="13">
        <f t="shared" si="103"/>
        <v>0</v>
      </c>
      <c r="S467" s="87">
        <f t="shared" si="95"/>
        <v>80</v>
      </c>
    </row>
    <row r="468" spans="1:19" ht="33">
      <c r="A468" s="62" t="str">
        <f ca="1">IF(ISERROR(MATCH(F468,Код_КВР,0)),"",INDIRECT(ADDRESS(MATCH(F468,Код_КВР,0)+1,2,,,"КВР")))</f>
        <v>Иные закупки товаров, работ и услуг для обеспечения муниципальных нужд</v>
      </c>
      <c r="B468" s="115">
        <v>803</v>
      </c>
      <c r="C468" s="8" t="s">
        <v>224</v>
      </c>
      <c r="D468" s="8" t="s">
        <v>204</v>
      </c>
      <c r="E468" s="115" t="s">
        <v>54</v>
      </c>
      <c r="F468" s="115">
        <v>240</v>
      </c>
      <c r="G468" s="70">
        <f t="shared" si="103"/>
        <v>80</v>
      </c>
      <c r="H468" s="70">
        <f t="shared" si="103"/>
        <v>0</v>
      </c>
      <c r="I468" s="70">
        <f t="shared" si="91"/>
        <v>80</v>
      </c>
      <c r="J468" s="70">
        <f t="shared" si="103"/>
        <v>0</v>
      </c>
      <c r="K468" s="87">
        <f t="shared" si="104"/>
        <v>80</v>
      </c>
      <c r="L468" s="13">
        <f t="shared" si="103"/>
        <v>0</v>
      </c>
      <c r="M468" s="87">
        <f t="shared" si="98"/>
        <v>80</v>
      </c>
      <c r="N468" s="13">
        <f t="shared" si="103"/>
        <v>0</v>
      </c>
      <c r="O468" s="87">
        <f t="shared" si="99"/>
        <v>80</v>
      </c>
      <c r="P468" s="13">
        <f t="shared" si="103"/>
        <v>0</v>
      </c>
      <c r="Q468" s="87">
        <f t="shared" si="96"/>
        <v>80</v>
      </c>
      <c r="R468" s="13">
        <f t="shared" si="103"/>
        <v>0</v>
      </c>
      <c r="S468" s="87">
        <f t="shared" si="95"/>
        <v>80</v>
      </c>
    </row>
    <row r="469" spans="1:19" ht="33">
      <c r="A469" s="62" t="str">
        <f ca="1">IF(ISERROR(MATCH(F469,Код_КВР,0)),"",INDIRECT(ADDRESS(MATCH(F469,Код_КВР,0)+1,2,,,"КВР")))</f>
        <v xml:space="preserve">Прочая закупка товаров, работ и услуг для обеспечения муниципальных нужд         </v>
      </c>
      <c r="B469" s="115">
        <v>803</v>
      </c>
      <c r="C469" s="8" t="s">
        <v>224</v>
      </c>
      <c r="D469" s="8" t="s">
        <v>204</v>
      </c>
      <c r="E469" s="115" t="s">
        <v>54</v>
      </c>
      <c r="F469" s="115">
        <v>244</v>
      </c>
      <c r="G469" s="70">
        <v>80</v>
      </c>
      <c r="H469" s="65"/>
      <c r="I469" s="70">
        <f t="shared" si="91"/>
        <v>80</v>
      </c>
      <c r="J469" s="65"/>
      <c r="K469" s="87">
        <f t="shared" si="104"/>
        <v>80</v>
      </c>
      <c r="L469" s="87"/>
      <c r="M469" s="87">
        <f t="shared" si="98"/>
        <v>80</v>
      </c>
      <c r="N469" s="87"/>
      <c r="O469" s="87">
        <f t="shared" si="99"/>
        <v>80</v>
      </c>
      <c r="P469" s="87"/>
      <c r="Q469" s="87">
        <f t="shared" si="96"/>
        <v>80</v>
      </c>
      <c r="R469" s="87"/>
      <c r="S469" s="87">
        <f t="shared" si="95"/>
        <v>80</v>
      </c>
    </row>
    <row r="470" spans="1:19" ht="12.75">
      <c r="A470" s="62" t="str">
        <f ca="1">IF(ISERROR(MATCH(C470,Код_Раздел,0)),"",INDIRECT(ADDRESS(MATCH(C470,Код_Раздел,0)+1,2,,,"Раздел")))</f>
        <v>Жилищно-коммунальное хозяйство</v>
      </c>
      <c r="B470" s="115">
        <v>803</v>
      </c>
      <c r="C470" s="8" t="s">
        <v>229</v>
      </c>
      <c r="D470" s="8"/>
      <c r="E470" s="115"/>
      <c r="F470" s="115"/>
      <c r="G470" s="70">
        <f>G471+G492+G506</f>
        <v>167820.5</v>
      </c>
      <c r="H470" s="70">
        <f>H471+H492+H506</f>
        <v>0</v>
      </c>
      <c r="I470" s="70">
        <f aca="true" t="shared" si="105" ref="I470:I537">G470+H470</f>
        <v>167820.5</v>
      </c>
      <c r="J470" s="70">
        <f>J471+J492+J506</f>
        <v>-898.9000000000001</v>
      </c>
      <c r="K470" s="87">
        <f t="shared" si="104"/>
        <v>166921.6</v>
      </c>
      <c r="L470" s="13">
        <f>L471+L492+L506</f>
        <v>-2681.7</v>
      </c>
      <c r="M470" s="87">
        <f t="shared" si="98"/>
        <v>164239.9</v>
      </c>
      <c r="N470" s="13">
        <f>N471+N492+N506</f>
        <v>0</v>
      </c>
      <c r="O470" s="87">
        <f t="shared" si="99"/>
        <v>164239.9</v>
      </c>
      <c r="P470" s="13">
        <f>P471+P492+P506</f>
        <v>-140.2</v>
      </c>
      <c r="Q470" s="87">
        <f t="shared" si="96"/>
        <v>164099.69999999998</v>
      </c>
      <c r="R470" s="13">
        <f>R471+R492+R506</f>
        <v>6242.200000000001</v>
      </c>
      <c r="S470" s="87">
        <f t="shared" si="95"/>
        <v>170341.9</v>
      </c>
    </row>
    <row r="471" spans="1:19" ht="12.75">
      <c r="A471" s="12" t="s">
        <v>234</v>
      </c>
      <c r="B471" s="115">
        <v>803</v>
      </c>
      <c r="C471" s="8" t="s">
        <v>229</v>
      </c>
      <c r="D471" s="8" t="s">
        <v>221</v>
      </c>
      <c r="E471" s="115"/>
      <c r="F471" s="115"/>
      <c r="G471" s="70">
        <f>G472+G478</f>
        <v>9180.8</v>
      </c>
      <c r="H471" s="70">
        <f>H472+H478</f>
        <v>0</v>
      </c>
      <c r="I471" s="70">
        <f t="shared" si="105"/>
        <v>9180.8</v>
      </c>
      <c r="J471" s="70">
        <f>J472+J478</f>
        <v>0</v>
      </c>
      <c r="K471" s="87">
        <f t="shared" si="104"/>
        <v>9180.8</v>
      </c>
      <c r="L471" s="13">
        <f>L472+L478</f>
        <v>-508.5</v>
      </c>
      <c r="M471" s="87">
        <f t="shared" si="98"/>
        <v>8672.3</v>
      </c>
      <c r="N471" s="13">
        <f>N472+N478</f>
        <v>0</v>
      </c>
      <c r="O471" s="87">
        <f t="shared" si="99"/>
        <v>8672.3</v>
      </c>
      <c r="P471" s="13">
        <f>P472+P478</f>
        <v>0</v>
      </c>
      <c r="Q471" s="87">
        <f t="shared" si="96"/>
        <v>8672.3</v>
      </c>
      <c r="R471" s="13">
        <f>R472+R478</f>
        <v>8002.1</v>
      </c>
      <c r="S471" s="87">
        <f t="shared" si="95"/>
        <v>16674.4</v>
      </c>
    </row>
    <row r="472" spans="1:19" ht="49.5">
      <c r="A472" s="62" t="str">
        <f ca="1">IF(ISERROR(MATCH(E472,Код_КЦСР,0)),"",INDIRECT(ADDRESS(MATCH(E472,Код_КЦСР,0)+1,2,,,"КЦСР")))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472" s="115">
        <v>803</v>
      </c>
      <c r="C472" s="8" t="s">
        <v>229</v>
      </c>
      <c r="D472" s="8" t="s">
        <v>221</v>
      </c>
      <c r="E472" s="115" t="s">
        <v>34</v>
      </c>
      <c r="F472" s="115"/>
      <c r="G472" s="70">
        <f aca="true" t="shared" si="106" ref="G472:R476">G473</f>
        <v>1500</v>
      </c>
      <c r="H472" s="70">
        <f t="shared" si="106"/>
        <v>0</v>
      </c>
      <c r="I472" s="70">
        <f t="shared" si="105"/>
        <v>1500</v>
      </c>
      <c r="J472" s="70">
        <f t="shared" si="106"/>
        <v>0</v>
      </c>
      <c r="K472" s="87">
        <f t="shared" si="104"/>
        <v>1500</v>
      </c>
      <c r="L472" s="13">
        <f t="shared" si="106"/>
        <v>-270.4</v>
      </c>
      <c r="M472" s="87">
        <f t="shared" si="98"/>
        <v>1229.6</v>
      </c>
      <c r="N472" s="13">
        <f t="shared" si="106"/>
        <v>0</v>
      </c>
      <c r="O472" s="87">
        <f t="shared" si="99"/>
        <v>1229.6</v>
      </c>
      <c r="P472" s="13">
        <f t="shared" si="106"/>
        <v>0</v>
      </c>
      <c r="Q472" s="87">
        <f t="shared" si="96"/>
        <v>1229.6</v>
      </c>
      <c r="R472" s="13">
        <f t="shared" si="106"/>
        <v>-336.9</v>
      </c>
      <c r="S472" s="87">
        <f t="shared" si="95"/>
        <v>892.6999999999999</v>
      </c>
    </row>
    <row r="473" spans="1:19" ht="33">
      <c r="A473" s="62" t="str">
        <f ca="1">IF(ISERROR(MATCH(E473,Код_КЦСР,0)),"",INDIRECT(ADDRESS(MATCH(E473,Код_КЦСР,0)+1,2,,,"КЦСР")))</f>
        <v>Энергосбережение и повышение энергетической эффективности в жилищном фонде</v>
      </c>
      <c r="B473" s="115">
        <v>803</v>
      </c>
      <c r="C473" s="8" t="s">
        <v>229</v>
      </c>
      <c r="D473" s="8" t="s">
        <v>221</v>
      </c>
      <c r="E473" s="115" t="s">
        <v>35</v>
      </c>
      <c r="F473" s="115"/>
      <c r="G473" s="70">
        <f t="shared" si="106"/>
        <v>1500</v>
      </c>
      <c r="H473" s="70">
        <f t="shared" si="106"/>
        <v>0</v>
      </c>
      <c r="I473" s="70">
        <f t="shared" si="105"/>
        <v>1500</v>
      </c>
      <c r="J473" s="70">
        <f t="shared" si="106"/>
        <v>0</v>
      </c>
      <c r="K473" s="87">
        <f t="shared" si="104"/>
        <v>1500</v>
      </c>
      <c r="L473" s="13">
        <f t="shared" si="106"/>
        <v>-270.4</v>
      </c>
      <c r="M473" s="87">
        <f t="shared" si="98"/>
        <v>1229.6</v>
      </c>
      <c r="N473" s="13">
        <f t="shared" si="106"/>
        <v>0</v>
      </c>
      <c r="O473" s="87">
        <f t="shared" si="99"/>
        <v>1229.6</v>
      </c>
      <c r="P473" s="13">
        <f t="shared" si="106"/>
        <v>0</v>
      </c>
      <c r="Q473" s="87">
        <f t="shared" si="96"/>
        <v>1229.6</v>
      </c>
      <c r="R473" s="13">
        <f t="shared" si="106"/>
        <v>-336.9</v>
      </c>
      <c r="S473" s="87">
        <f t="shared" si="95"/>
        <v>892.6999999999999</v>
      </c>
    </row>
    <row r="474" spans="1:19" ht="33">
      <c r="A474" s="62" t="str">
        <f ca="1">IF(ISERROR(MATCH(E474,Код_КЦСР,0)),"",INDIRECT(ADDRESS(MATCH(E474,Код_КЦСР,0)+1,2,,,"КЦСР")))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74" s="115">
        <v>803</v>
      </c>
      <c r="C474" s="8" t="s">
        <v>229</v>
      </c>
      <c r="D474" s="8" t="s">
        <v>221</v>
      </c>
      <c r="E474" s="115" t="s">
        <v>37</v>
      </c>
      <c r="F474" s="115"/>
      <c r="G474" s="70">
        <f t="shared" si="106"/>
        <v>1500</v>
      </c>
      <c r="H474" s="70">
        <f t="shared" si="106"/>
        <v>0</v>
      </c>
      <c r="I474" s="70">
        <f t="shared" si="105"/>
        <v>1500</v>
      </c>
      <c r="J474" s="70">
        <f t="shared" si="106"/>
        <v>0</v>
      </c>
      <c r="K474" s="87">
        <f t="shared" si="104"/>
        <v>1500</v>
      </c>
      <c r="L474" s="13">
        <f t="shared" si="106"/>
        <v>-270.4</v>
      </c>
      <c r="M474" s="87">
        <f t="shared" si="98"/>
        <v>1229.6</v>
      </c>
      <c r="N474" s="13">
        <f t="shared" si="106"/>
        <v>0</v>
      </c>
      <c r="O474" s="87">
        <f t="shared" si="99"/>
        <v>1229.6</v>
      </c>
      <c r="P474" s="13">
        <f t="shared" si="106"/>
        <v>0</v>
      </c>
      <c r="Q474" s="87">
        <f t="shared" si="96"/>
        <v>1229.6</v>
      </c>
      <c r="R474" s="13">
        <f t="shared" si="106"/>
        <v>-336.9</v>
      </c>
      <c r="S474" s="87">
        <f t="shared" si="95"/>
        <v>892.6999999999999</v>
      </c>
    </row>
    <row r="475" spans="1:19" ht="12.75">
      <c r="A475" s="62" t="str">
        <f ca="1">IF(ISERROR(MATCH(F475,Код_КВР,0)),"",INDIRECT(ADDRESS(MATCH(F475,Код_КВР,0)+1,2,,,"КВР")))</f>
        <v>Закупка товаров, работ и услуг для муниципальных нужд</v>
      </c>
      <c r="B475" s="115">
        <v>803</v>
      </c>
      <c r="C475" s="8" t="s">
        <v>229</v>
      </c>
      <c r="D475" s="8" t="s">
        <v>221</v>
      </c>
      <c r="E475" s="115" t="s">
        <v>37</v>
      </c>
      <c r="F475" s="115">
        <v>200</v>
      </c>
      <c r="G475" s="70">
        <f t="shared" si="106"/>
        <v>1500</v>
      </c>
      <c r="H475" s="70">
        <f t="shared" si="106"/>
        <v>0</v>
      </c>
      <c r="I475" s="70">
        <f t="shared" si="105"/>
        <v>1500</v>
      </c>
      <c r="J475" s="70">
        <f t="shared" si="106"/>
        <v>0</v>
      </c>
      <c r="K475" s="87">
        <f t="shared" si="104"/>
        <v>1500</v>
      </c>
      <c r="L475" s="13">
        <f t="shared" si="106"/>
        <v>-270.4</v>
      </c>
      <c r="M475" s="87">
        <f t="shared" si="98"/>
        <v>1229.6</v>
      </c>
      <c r="N475" s="13">
        <f t="shared" si="106"/>
        <v>0</v>
      </c>
      <c r="O475" s="87">
        <f t="shared" si="99"/>
        <v>1229.6</v>
      </c>
      <c r="P475" s="13">
        <f t="shared" si="106"/>
        <v>0</v>
      </c>
      <c r="Q475" s="87">
        <f t="shared" si="96"/>
        <v>1229.6</v>
      </c>
      <c r="R475" s="13">
        <f t="shared" si="106"/>
        <v>-336.9</v>
      </c>
      <c r="S475" s="87">
        <f t="shared" si="95"/>
        <v>892.6999999999999</v>
      </c>
    </row>
    <row r="476" spans="1:19" ht="33">
      <c r="A476" s="62" t="str">
        <f ca="1">IF(ISERROR(MATCH(F476,Код_КВР,0)),"",INDIRECT(ADDRESS(MATCH(F476,Код_КВР,0)+1,2,,,"КВР")))</f>
        <v>Иные закупки товаров, работ и услуг для обеспечения муниципальных нужд</v>
      </c>
      <c r="B476" s="115">
        <v>803</v>
      </c>
      <c r="C476" s="8" t="s">
        <v>229</v>
      </c>
      <c r="D476" s="8" t="s">
        <v>221</v>
      </c>
      <c r="E476" s="115" t="s">
        <v>37</v>
      </c>
      <c r="F476" s="115">
        <v>240</v>
      </c>
      <c r="G476" s="70">
        <f t="shared" si="106"/>
        <v>1500</v>
      </c>
      <c r="H476" s="70">
        <f t="shared" si="106"/>
        <v>0</v>
      </c>
      <c r="I476" s="70">
        <f t="shared" si="105"/>
        <v>1500</v>
      </c>
      <c r="J476" s="70">
        <f t="shared" si="106"/>
        <v>0</v>
      </c>
      <c r="K476" s="87">
        <f t="shared" si="104"/>
        <v>1500</v>
      </c>
      <c r="L476" s="13">
        <f t="shared" si="106"/>
        <v>-270.4</v>
      </c>
      <c r="M476" s="87">
        <f t="shared" si="98"/>
        <v>1229.6</v>
      </c>
      <c r="N476" s="13">
        <f t="shared" si="106"/>
        <v>0</v>
      </c>
      <c r="O476" s="87">
        <f t="shared" si="99"/>
        <v>1229.6</v>
      </c>
      <c r="P476" s="13">
        <f t="shared" si="106"/>
        <v>0</v>
      </c>
      <c r="Q476" s="87">
        <f t="shared" si="96"/>
        <v>1229.6</v>
      </c>
      <c r="R476" s="13">
        <f t="shared" si="106"/>
        <v>-336.9</v>
      </c>
      <c r="S476" s="87">
        <f t="shared" si="95"/>
        <v>892.6999999999999</v>
      </c>
    </row>
    <row r="477" spans="1:19" ht="33">
      <c r="A477" s="62" t="str">
        <f ca="1">IF(ISERROR(MATCH(F477,Код_КВР,0)),"",INDIRECT(ADDRESS(MATCH(F477,Код_КВР,0)+1,2,,,"КВР")))</f>
        <v xml:space="preserve">Прочая закупка товаров, работ и услуг для обеспечения муниципальных нужд         </v>
      </c>
      <c r="B477" s="115">
        <v>803</v>
      </c>
      <c r="C477" s="8" t="s">
        <v>229</v>
      </c>
      <c r="D477" s="8" t="s">
        <v>221</v>
      </c>
      <c r="E477" s="115" t="s">
        <v>37</v>
      </c>
      <c r="F477" s="115">
        <v>244</v>
      </c>
      <c r="G477" s="70">
        <v>1500</v>
      </c>
      <c r="H477" s="65"/>
      <c r="I477" s="70">
        <f t="shared" si="105"/>
        <v>1500</v>
      </c>
      <c r="J477" s="65"/>
      <c r="K477" s="87">
        <f t="shared" si="104"/>
        <v>1500</v>
      </c>
      <c r="L477" s="87">
        <v>-270.4</v>
      </c>
      <c r="M477" s="87">
        <f t="shared" si="98"/>
        <v>1229.6</v>
      </c>
      <c r="N477" s="87"/>
      <c r="O477" s="87">
        <f t="shared" si="99"/>
        <v>1229.6</v>
      </c>
      <c r="P477" s="87"/>
      <c r="Q477" s="87">
        <f t="shared" si="96"/>
        <v>1229.6</v>
      </c>
      <c r="R477" s="87">
        <f>-336.9</f>
        <v>-336.9</v>
      </c>
      <c r="S477" s="87">
        <f t="shared" si="95"/>
        <v>892.6999999999999</v>
      </c>
    </row>
    <row r="478" spans="1:19" ht="33">
      <c r="A478" s="62" t="str">
        <f ca="1">IF(ISERROR(MATCH(E478,Код_КЦСР,0)),"",INDIRECT(ADDRESS(MATCH(E478,Код_КЦСР,0)+1,2,,,"КЦСР")))</f>
        <v>Муниципальная программа «Развитие жилищно-коммунального хозяйства города Череповца» на 2014-2018 годы</v>
      </c>
      <c r="B478" s="115">
        <v>803</v>
      </c>
      <c r="C478" s="8" t="s">
        <v>229</v>
      </c>
      <c r="D478" s="8" t="s">
        <v>221</v>
      </c>
      <c r="E478" s="115" t="s">
        <v>47</v>
      </c>
      <c r="F478" s="115"/>
      <c r="G478" s="70">
        <f>G479</f>
        <v>7680.8</v>
      </c>
      <c r="H478" s="70">
        <f>H479</f>
        <v>0</v>
      </c>
      <c r="I478" s="70">
        <f t="shared" si="105"/>
        <v>7680.8</v>
      </c>
      <c r="J478" s="70">
        <f>J479</f>
        <v>0</v>
      </c>
      <c r="K478" s="87">
        <f t="shared" si="104"/>
        <v>7680.8</v>
      </c>
      <c r="L478" s="13">
        <f>L479</f>
        <v>-238.1</v>
      </c>
      <c r="M478" s="87">
        <f t="shared" si="98"/>
        <v>7442.7</v>
      </c>
      <c r="N478" s="13">
        <f>N479</f>
        <v>0</v>
      </c>
      <c r="O478" s="87">
        <f t="shared" si="99"/>
        <v>7442.7</v>
      </c>
      <c r="P478" s="13">
        <f>P479</f>
        <v>0</v>
      </c>
      <c r="Q478" s="87">
        <f t="shared" si="96"/>
        <v>7442.7</v>
      </c>
      <c r="R478" s="13">
        <f>R479</f>
        <v>8339</v>
      </c>
      <c r="S478" s="87">
        <f t="shared" si="95"/>
        <v>15781.7</v>
      </c>
    </row>
    <row r="479" spans="1:19" ht="12.75">
      <c r="A479" s="62" t="str">
        <f ca="1">IF(ISERROR(MATCH(E479,Код_КЦСР,0)),"",INDIRECT(ADDRESS(MATCH(E479,Код_КЦСР,0)+1,2,,,"КЦСР")))</f>
        <v>Содержание и ремонт жилищного фонда</v>
      </c>
      <c r="B479" s="115">
        <v>803</v>
      </c>
      <c r="C479" s="8" t="s">
        <v>229</v>
      </c>
      <c r="D479" s="8" t="s">
        <v>221</v>
      </c>
      <c r="E479" s="115" t="s">
        <v>56</v>
      </c>
      <c r="F479" s="115"/>
      <c r="G479" s="70">
        <f>G480+G484</f>
        <v>7680.8</v>
      </c>
      <c r="H479" s="70">
        <f>H480+H484</f>
        <v>0</v>
      </c>
      <c r="I479" s="70">
        <f t="shared" si="105"/>
        <v>7680.8</v>
      </c>
      <c r="J479" s="70">
        <f>J480+J484</f>
        <v>0</v>
      </c>
      <c r="K479" s="87">
        <f t="shared" si="104"/>
        <v>7680.8</v>
      </c>
      <c r="L479" s="13">
        <f>L480+L484</f>
        <v>-238.1</v>
      </c>
      <c r="M479" s="87">
        <f t="shared" si="98"/>
        <v>7442.7</v>
      </c>
      <c r="N479" s="13">
        <f>N480+N484</f>
        <v>0</v>
      </c>
      <c r="O479" s="87">
        <f t="shared" si="99"/>
        <v>7442.7</v>
      </c>
      <c r="P479" s="13">
        <f>P480+P484</f>
        <v>0</v>
      </c>
      <c r="Q479" s="87">
        <f t="shared" si="96"/>
        <v>7442.7</v>
      </c>
      <c r="R479" s="13">
        <f>R480+R484+R488</f>
        <v>8339</v>
      </c>
      <c r="S479" s="87">
        <f t="shared" si="95"/>
        <v>15781.7</v>
      </c>
    </row>
    <row r="480" spans="1:19" ht="12.75">
      <c r="A480" s="62" t="str">
        <f ca="1">IF(ISERROR(MATCH(E480,Код_КЦСР,0)),"",INDIRECT(ADDRESS(MATCH(E480,Код_КЦСР,0)+1,2,,,"КЦСР")))</f>
        <v>Капитальный ремонт жилищного фонда</v>
      </c>
      <c r="B480" s="115">
        <v>803</v>
      </c>
      <c r="C480" s="8" t="s">
        <v>229</v>
      </c>
      <c r="D480" s="8" t="s">
        <v>221</v>
      </c>
      <c r="E480" s="115" t="s">
        <v>58</v>
      </c>
      <c r="F480" s="115"/>
      <c r="G480" s="70">
        <f aca="true" t="shared" si="107" ref="G480:R482">G481</f>
        <v>2288.3</v>
      </c>
      <c r="H480" s="70">
        <f t="shared" si="107"/>
        <v>0</v>
      </c>
      <c r="I480" s="70">
        <f t="shared" si="105"/>
        <v>2288.3</v>
      </c>
      <c r="J480" s="70">
        <f t="shared" si="107"/>
        <v>0</v>
      </c>
      <c r="K480" s="87">
        <f t="shared" si="104"/>
        <v>2288.3</v>
      </c>
      <c r="L480" s="13">
        <f t="shared" si="107"/>
        <v>0</v>
      </c>
      <c r="M480" s="87">
        <f t="shared" si="98"/>
        <v>2288.3</v>
      </c>
      <c r="N480" s="13">
        <f t="shared" si="107"/>
        <v>0</v>
      </c>
      <c r="O480" s="87">
        <f t="shared" si="99"/>
        <v>2288.3</v>
      </c>
      <c r="P480" s="13">
        <f t="shared" si="107"/>
        <v>0</v>
      </c>
      <c r="Q480" s="87">
        <f t="shared" si="96"/>
        <v>2288.3</v>
      </c>
      <c r="R480" s="13">
        <f>R481</f>
        <v>0</v>
      </c>
      <c r="S480" s="87">
        <f t="shared" si="95"/>
        <v>2288.3</v>
      </c>
    </row>
    <row r="481" spans="1:19" ht="12.75">
      <c r="A481" s="62" t="str">
        <f ca="1">IF(ISERROR(MATCH(F481,Код_КВР,0)),"",INDIRECT(ADDRESS(MATCH(F481,Код_КВР,0)+1,2,,,"КВР")))</f>
        <v>Закупка товаров, работ и услуг для муниципальных нужд</v>
      </c>
      <c r="B481" s="115">
        <v>803</v>
      </c>
      <c r="C481" s="8" t="s">
        <v>229</v>
      </c>
      <c r="D481" s="8" t="s">
        <v>221</v>
      </c>
      <c r="E481" s="115" t="s">
        <v>58</v>
      </c>
      <c r="F481" s="115">
        <v>200</v>
      </c>
      <c r="G481" s="70">
        <f t="shared" si="107"/>
        <v>2288.3</v>
      </c>
      <c r="H481" s="70">
        <f t="shared" si="107"/>
        <v>0</v>
      </c>
      <c r="I481" s="70">
        <f t="shared" si="105"/>
        <v>2288.3</v>
      </c>
      <c r="J481" s="70">
        <f t="shared" si="107"/>
        <v>0</v>
      </c>
      <c r="K481" s="87">
        <f t="shared" si="104"/>
        <v>2288.3</v>
      </c>
      <c r="L481" s="13">
        <f t="shared" si="107"/>
        <v>0</v>
      </c>
      <c r="M481" s="87">
        <f t="shared" si="98"/>
        <v>2288.3</v>
      </c>
      <c r="N481" s="13">
        <f t="shared" si="107"/>
        <v>0</v>
      </c>
      <c r="O481" s="87">
        <f t="shared" si="99"/>
        <v>2288.3</v>
      </c>
      <c r="P481" s="13">
        <f t="shared" si="107"/>
        <v>0</v>
      </c>
      <c r="Q481" s="87">
        <f t="shared" si="96"/>
        <v>2288.3</v>
      </c>
      <c r="R481" s="13">
        <f t="shared" si="107"/>
        <v>0</v>
      </c>
      <c r="S481" s="87">
        <f t="shared" si="95"/>
        <v>2288.3</v>
      </c>
    </row>
    <row r="482" spans="1:19" ht="33">
      <c r="A482" s="62" t="str">
        <f ca="1">IF(ISERROR(MATCH(F482,Код_КВР,0)),"",INDIRECT(ADDRESS(MATCH(F482,Код_КВР,0)+1,2,,,"КВР")))</f>
        <v>Иные закупки товаров, работ и услуг для обеспечения муниципальных нужд</v>
      </c>
      <c r="B482" s="115">
        <v>803</v>
      </c>
      <c r="C482" s="8" t="s">
        <v>229</v>
      </c>
      <c r="D482" s="8" t="s">
        <v>221</v>
      </c>
      <c r="E482" s="115" t="s">
        <v>58</v>
      </c>
      <c r="F482" s="115">
        <v>240</v>
      </c>
      <c r="G482" s="70">
        <f t="shared" si="107"/>
        <v>2288.3</v>
      </c>
      <c r="H482" s="70">
        <f t="shared" si="107"/>
        <v>0</v>
      </c>
      <c r="I482" s="70">
        <f t="shared" si="105"/>
        <v>2288.3</v>
      </c>
      <c r="J482" s="70">
        <f t="shared" si="107"/>
        <v>0</v>
      </c>
      <c r="K482" s="87">
        <f t="shared" si="104"/>
        <v>2288.3</v>
      </c>
      <c r="L482" s="13">
        <f t="shared" si="107"/>
        <v>0</v>
      </c>
      <c r="M482" s="87">
        <f t="shared" si="98"/>
        <v>2288.3</v>
      </c>
      <c r="N482" s="13">
        <f t="shared" si="107"/>
        <v>0</v>
      </c>
      <c r="O482" s="87">
        <f t="shared" si="99"/>
        <v>2288.3</v>
      </c>
      <c r="P482" s="13">
        <f t="shared" si="107"/>
        <v>0</v>
      </c>
      <c r="Q482" s="87">
        <f t="shared" si="96"/>
        <v>2288.3</v>
      </c>
      <c r="R482" s="13">
        <f t="shared" si="107"/>
        <v>0</v>
      </c>
      <c r="S482" s="87">
        <f t="shared" si="95"/>
        <v>2288.3</v>
      </c>
    </row>
    <row r="483" spans="1:19" ht="33">
      <c r="A483" s="62" t="str">
        <f ca="1">IF(ISERROR(MATCH(F483,Код_КВР,0)),"",INDIRECT(ADDRESS(MATCH(F483,Код_КВР,0)+1,2,,,"КВР")))</f>
        <v xml:space="preserve">Прочая закупка товаров, работ и услуг для обеспечения муниципальных нужд         </v>
      </c>
      <c r="B483" s="115">
        <v>803</v>
      </c>
      <c r="C483" s="8" t="s">
        <v>229</v>
      </c>
      <c r="D483" s="8" t="s">
        <v>221</v>
      </c>
      <c r="E483" s="115" t="s">
        <v>58</v>
      </c>
      <c r="F483" s="115">
        <v>244</v>
      </c>
      <c r="G483" s="70">
        <v>2288.3</v>
      </c>
      <c r="H483" s="65"/>
      <c r="I483" s="70">
        <f t="shared" si="105"/>
        <v>2288.3</v>
      </c>
      <c r="J483" s="65"/>
      <c r="K483" s="87">
        <f t="shared" si="104"/>
        <v>2288.3</v>
      </c>
      <c r="L483" s="87"/>
      <c r="M483" s="87">
        <f t="shared" si="98"/>
        <v>2288.3</v>
      </c>
      <c r="N483" s="87"/>
      <c r="O483" s="87">
        <f t="shared" si="99"/>
        <v>2288.3</v>
      </c>
      <c r="P483" s="87"/>
      <c r="Q483" s="87">
        <f t="shared" si="96"/>
        <v>2288.3</v>
      </c>
      <c r="R483" s="87"/>
      <c r="S483" s="87">
        <f t="shared" si="95"/>
        <v>2288.3</v>
      </c>
    </row>
    <row r="484" spans="1:19" ht="33">
      <c r="A484" s="62" t="str">
        <f ca="1">IF(ISERROR(MATCH(E484,Код_КЦСР,0)),"",INDIRECT(ADDRESS(MATCH(E484,Код_КЦСР,0)+1,2,,,"КЦСР")))</f>
        <v>Содержание и ремонт временно незаселенных жилых помещений муниципального жилищного фонда</v>
      </c>
      <c r="B484" s="115">
        <v>803</v>
      </c>
      <c r="C484" s="8" t="s">
        <v>229</v>
      </c>
      <c r="D484" s="8" t="s">
        <v>221</v>
      </c>
      <c r="E484" s="115" t="s">
        <v>60</v>
      </c>
      <c r="F484" s="115"/>
      <c r="G484" s="70">
        <f aca="true" t="shared" si="108" ref="G484:R486">G485</f>
        <v>5392.5</v>
      </c>
      <c r="H484" s="70">
        <f t="shared" si="108"/>
        <v>0</v>
      </c>
      <c r="I484" s="70">
        <f t="shared" si="105"/>
        <v>5392.5</v>
      </c>
      <c r="J484" s="70">
        <f t="shared" si="108"/>
        <v>0</v>
      </c>
      <c r="K484" s="87">
        <f t="shared" si="104"/>
        <v>5392.5</v>
      </c>
      <c r="L484" s="13">
        <f t="shared" si="108"/>
        <v>-238.1</v>
      </c>
      <c r="M484" s="87">
        <f t="shared" si="98"/>
        <v>5154.4</v>
      </c>
      <c r="N484" s="13">
        <f t="shared" si="108"/>
        <v>0</v>
      </c>
      <c r="O484" s="87">
        <f t="shared" si="99"/>
        <v>5154.4</v>
      </c>
      <c r="P484" s="13">
        <f t="shared" si="108"/>
        <v>0</v>
      </c>
      <c r="Q484" s="87">
        <f t="shared" si="96"/>
        <v>5154.4</v>
      </c>
      <c r="R484" s="13">
        <f t="shared" si="108"/>
        <v>-180.39999999999998</v>
      </c>
      <c r="S484" s="87">
        <f t="shared" si="95"/>
        <v>4974</v>
      </c>
    </row>
    <row r="485" spans="1:19" ht="12.75">
      <c r="A485" s="62" t="str">
        <f ca="1">IF(ISERROR(MATCH(F485,Код_КВР,0)),"",INDIRECT(ADDRESS(MATCH(F485,Код_КВР,0)+1,2,,,"КВР")))</f>
        <v>Закупка товаров, работ и услуг для муниципальных нужд</v>
      </c>
      <c r="B485" s="115">
        <v>803</v>
      </c>
      <c r="C485" s="8" t="s">
        <v>229</v>
      </c>
      <c r="D485" s="8" t="s">
        <v>221</v>
      </c>
      <c r="E485" s="115" t="s">
        <v>60</v>
      </c>
      <c r="F485" s="115">
        <v>200</v>
      </c>
      <c r="G485" s="70">
        <f t="shared" si="108"/>
        <v>5392.5</v>
      </c>
      <c r="H485" s="70">
        <f t="shared" si="108"/>
        <v>0</v>
      </c>
      <c r="I485" s="70">
        <f t="shared" si="105"/>
        <v>5392.5</v>
      </c>
      <c r="J485" s="70">
        <f t="shared" si="108"/>
        <v>0</v>
      </c>
      <c r="K485" s="87">
        <f t="shared" si="104"/>
        <v>5392.5</v>
      </c>
      <c r="L485" s="13">
        <f t="shared" si="108"/>
        <v>-238.1</v>
      </c>
      <c r="M485" s="87">
        <f t="shared" si="98"/>
        <v>5154.4</v>
      </c>
      <c r="N485" s="13">
        <f t="shared" si="108"/>
        <v>0</v>
      </c>
      <c r="O485" s="87">
        <f t="shared" si="99"/>
        <v>5154.4</v>
      </c>
      <c r="P485" s="13">
        <f t="shared" si="108"/>
        <v>0</v>
      </c>
      <c r="Q485" s="87">
        <f t="shared" si="96"/>
        <v>5154.4</v>
      </c>
      <c r="R485" s="13">
        <f t="shared" si="108"/>
        <v>-180.39999999999998</v>
      </c>
      <c r="S485" s="87">
        <f t="shared" si="95"/>
        <v>4974</v>
      </c>
    </row>
    <row r="486" spans="1:19" ht="33">
      <c r="A486" s="62" t="str">
        <f ca="1">IF(ISERROR(MATCH(F486,Код_КВР,0)),"",INDIRECT(ADDRESS(MATCH(F486,Код_КВР,0)+1,2,,,"КВР")))</f>
        <v>Иные закупки товаров, работ и услуг для обеспечения муниципальных нужд</v>
      </c>
      <c r="B486" s="115">
        <v>803</v>
      </c>
      <c r="C486" s="8" t="s">
        <v>229</v>
      </c>
      <c r="D486" s="8" t="s">
        <v>221</v>
      </c>
      <c r="E486" s="115" t="s">
        <v>60</v>
      </c>
      <c r="F486" s="115">
        <v>240</v>
      </c>
      <c r="G486" s="70">
        <f t="shared" si="108"/>
        <v>5392.5</v>
      </c>
      <c r="H486" s="70">
        <f t="shared" si="108"/>
        <v>0</v>
      </c>
      <c r="I486" s="70">
        <f t="shared" si="105"/>
        <v>5392.5</v>
      </c>
      <c r="J486" s="70">
        <f t="shared" si="108"/>
        <v>0</v>
      </c>
      <c r="K486" s="87">
        <f t="shared" si="104"/>
        <v>5392.5</v>
      </c>
      <c r="L486" s="13">
        <f t="shared" si="108"/>
        <v>-238.1</v>
      </c>
      <c r="M486" s="87">
        <f t="shared" si="98"/>
        <v>5154.4</v>
      </c>
      <c r="N486" s="13">
        <f t="shared" si="108"/>
        <v>0</v>
      </c>
      <c r="O486" s="87">
        <f t="shared" si="99"/>
        <v>5154.4</v>
      </c>
      <c r="P486" s="13">
        <f t="shared" si="108"/>
        <v>0</v>
      </c>
      <c r="Q486" s="87">
        <f t="shared" si="96"/>
        <v>5154.4</v>
      </c>
      <c r="R486" s="13">
        <f t="shared" si="108"/>
        <v>-180.39999999999998</v>
      </c>
      <c r="S486" s="87">
        <f t="shared" si="95"/>
        <v>4974</v>
      </c>
    </row>
    <row r="487" spans="1:19" ht="33">
      <c r="A487" s="62" t="str">
        <f ca="1">IF(ISERROR(MATCH(F487,Код_КВР,0)),"",INDIRECT(ADDRESS(MATCH(F487,Код_КВР,0)+1,2,,,"КВР")))</f>
        <v xml:space="preserve">Прочая закупка товаров, работ и услуг для обеспечения муниципальных нужд         </v>
      </c>
      <c r="B487" s="115">
        <v>803</v>
      </c>
      <c r="C487" s="8" t="s">
        <v>229</v>
      </c>
      <c r="D487" s="8" t="s">
        <v>221</v>
      </c>
      <c r="E487" s="115" t="s">
        <v>60</v>
      </c>
      <c r="F487" s="115">
        <v>244</v>
      </c>
      <c r="G487" s="70">
        <v>5392.5</v>
      </c>
      <c r="H487" s="65"/>
      <c r="I487" s="70">
        <f t="shared" si="105"/>
        <v>5392.5</v>
      </c>
      <c r="J487" s="65"/>
      <c r="K487" s="87">
        <f t="shared" si="104"/>
        <v>5392.5</v>
      </c>
      <c r="L487" s="87">
        <v>-238.1</v>
      </c>
      <c r="M487" s="87">
        <f t="shared" si="98"/>
        <v>5154.4</v>
      </c>
      <c r="N487" s="87"/>
      <c r="O487" s="87">
        <f t="shared" si="99"/>
        <v>5154.4</v>
      </c>
      <c r="P487" s="87"/>
      <c r="Q487" s="87">
        <f t="shared" si="96"/>
        <v>5154.4</v>
      </c>
      <c r="R487" s="87">
        <f>-36.9-58.3-85.2</f>
        <v>-180.39999999999998</v>
      </c>
      <c r="S487" s="87">
        <f t="shared" si="95"/>
        <v>4974</v>
      </c>
    </row>
    <row r="488" spans="1:19" s="94" customFormat="1" ht="60.75" customHeight="1">
      <c r="A488" s="62" t="str">
        <f ca="1">IF(ISERROR(MATCH(E488,Код_КЦСР,0)),"",INDIRECT(ADDRESS(MATCH(E488,Код_КЦСР,0)+1,2,,,"КЦСР")))</f>
        <v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v>
      </c>
      <c r="B488" s="130">
        <v>803</v>
      </c>
      <c r="C488" s="8" t="s">
        <v>229</v>
      </c>
      <c r="D488" s="8" t="s">
        <v>221</v>
      </c>
      <c r="E488" s="130" t="s">
        <v>673</v>
      </c>
      <c r="F488" s="130"/>
      <c r="G488" s="70"/>
      <c r="H488" s="65"/>
      <c r="I488" s="70"/>
      <c r="J488" s="65"/>
      <c r="K488" s="87"/>
      <c r="L488" s="87"/>
      <c r="M488" s="87"/>
      <c r="N488" s="87"/>
      <c r="O488" s="87"/>
      <c r="P488" s="87"/>
      <c r="Q488" s="87"/>
      <c r="R488" s="87">
        <f>R489</f>
        <v>8519.4</v>
      </c>
      <c r="S488" s="87">
        <f t="shared" si="95"/>
        <v>8519.4</v>
      </c>
    </row>
    <row r="489" spans="1:19" s="94" customFormat="1" ht="12.75">
      <c r="A489" s="62" t="str">
        <f ca="1">IF(ISERROR(MATCH(F489,Код_КВР,0)),"",INDIRECT(ADDRESS(MATCH(F489,Код_КВР,0)+1,2,,,"КВР")))</f>
        <v>Закупка товаров, работ и услуг для муниципальных нужд</v>
      </c>
      <c r="B489" s="130">
        <v>803</v>
      </c>
      <c r="C489" s="8" t="s">
        <v>229</v>
      </c>
      <c r="D489" s="8" t="s">
        <v>221</v>
      </c>
      <c r="E489" s="130" t="s">
        <v>673</v>
      </c>
      <c r="F489" s="130">
        <v>200</v>
      </c>
      <c r="G489" s="70"/>
      <c r="H489" s="65"/>
      <c r="I489" s="70"/>
      <c r="J489" s="65"/>
      <c r="K489" s="87"/>
      <c r="L489" s="87"/>
      <c r="M489" s="87"/>
      <c r="N489" s="87"/>
      <c r="O489" s="87"/>
      <c r="P489" s="87"/>
      <c r="Q489" s="87"/>
      <c r="R489" s="87">
        <f>R490</f>
        <v>8519.4</v>
      </c>
      <c r="S489" s="87">
        <f t="shared" si="95"/>
        <v>8519.4</v>
      </c>
    </row>
    <row r="490" spans="1:19" s="94" customFormat="1" ht="33">
      <c r="A490" s="62" t="str">
        <f ca="1">IF(ISERROR(MATCH(F490,Код_КВР,0)),"",INDIRECT(ADDRESS(MATCH(F490,Код_КВР,0)+1,2,,,"КВР")))</f>
        <v>Иные закупки товаров, работ и услуг для обеспечения муниципальных нужд</v>
      </c>
      <c r="B490" s="130">
        <v>803</v>
      </c>
      <c r="C490" s="8" t="s">
        <v>229</v>
      </c>
      <c r="D490" s="8" t="s">
        <v>221</v>
      </c>
      <c r="E490" s="130" t="s">
        <v>673</v>
      </c>
      <c r="F490" s="130">
        <v>240</v>
      </c>
      <c r="G490" s="70"/>
      <c r="H490" s="65"/>
      <c r="I490" s="70"/>
      <c r="J490" s="65"/>
      <c r="K490" s="87"/>
      <c r="L490" s="87"/>
      <c r="M490" s="87"/>
      <c r="N490" s="87"/>
      <c r="O490" s="87"/>
      <c r="P490" s="87"/>
      <c r="Q490" s="87"/>
      <c r="R490" s="87">
        <f>R491</f>
        <v>8519.4</v>
      </c>
      <c r="S490" s="87">
        <f t="shared" si="95"/>
        <v>8519.4</v>
      </c>
    </row>
    <row r="491" spans="1:19" s="94" customFormat="1" ht="33">
      <c r="A491" s="62" t="str">
        <f ca="1">IF(ISERROR(MATCH(F491,Код_КВР,0)),"",INDIRECT(ADDRESS(MATCH(F491,Код_КВР,0)+1,2,,,"КВР")))</f>
        <v xml:space="preserve">Прочая закупка товаров, работ и услуг для обеспечения муниципальных нужд         </v>
      </c>
      <c r="B491" s="130">
        <v>803</v>
      </c>
      <c r="C491" s="8" t="s">
        <v>229</v>
      </c>
      <c r="D491" s="8" t="s">
        <v>221</v>
      </c>
      <c r="E491" s="130" t="s">
        <v>673</v>
      </c>
      <c r="F491" s="130">
        <v>244</v>
      </c>
      <c r="G491" s="70"/>
      <c r="H491" s="65"/>
      <c r="I491" s="70"/>
      <c r="J491" s="65"/>
      <c r="K491" s="87"/>
      <c r="L491" s="87"/>
      <c r="M491" s="87"/>
      <c r="N491" s="87"/>
      <c r="O491" s="87"/>
      <c r="P491" s="87"/>
      <c r="Q491" s="87"/>
      <c r="R491" s="87">
        <v>8519.4</v>
      </c>
      <c r="S491" s="87">
        <f t="shared" si="95"/>
        <v>8519.4</v>
      </c>
    </row>
    <row r="492" spans="1:19" ht="12.75">
      <c r="A492" s="62" t="s">
        <v>260</v>
      </c>
      <c r="B492" s="115">
        <v>803</v>
      </c>
      <c r="C492" s="8" t="s">
        <v>229</v>
      </c>
      <c r="D492" s="8" t="s">
        <v>223</v>
      </c>
      <c r="E492" s="115"/>
      <c r="F492" s="115"/>
      <c r="G492" s="70">
        <f>G493+G501</f>
        <v>136710.40000000002</v>
      </c>
      <c r="H492" s="70">
        <f>H493+H501</f>
        <v>0</v>
      </c>
      <c r="I492" s="70">
        <f t="shared" si="105"/>
        <v>136710.40000000002</v>
      </c>
      <c r="J492" s="70">
        <f>J493+J501</f>
        <v>-898.9000000000001</v>
      </c>
      <c r="K492" s="87">
        <f t="shared" si="104"/>
        <v>135811.50000000003</v>
      </c>
      <c r="L492" s="13">
        <f>L493+L501</f>
        <v>-2173.2</v>
      </c>
      <c r="M492" s="87">
        <f t="shared" si="98"/>
        <v>133638.30000000002</v>
      </c>
      <c r="N492" s="13">
        <f>N493+N501</f>
        <v>0</v>
      </c>
      <c r="O492" s="87">
        <f t="shared" si="99"/>
        <v>133638.30000000002</v>
      </c>
      <c r="P492" s="13">
        <f>P493+P501</f>
        <v>-140.2</v>
      </c>
      <c r="Q492" s="87">
        <f t="shared" si="96"/>
        <v>133498.1</v>
      </c>
      <c r="R492" s="13">
        <f>R493+R501</f>
        <v>-1759.9</v>
      </c>
      <c r="S492" s="87">
        <f t="shared" si="95"/>
        <v>131738.2</v>
      </c>
    </row>
    <row r="493" spans="1:19" ht="33">
      <c r="A493" s="62" t="str">
        <f ca="1">IF(ISERROR(MATCH(E493,Код_КЦСР,0)),"",INDIRECT(ADDRESS(MATCH(E493,Код_КЦСР,0)+1,2,,,"КЦСР")))</f>
        <v>Муниципальная программа «Развитие жилищно-коммунального хозяйства города Череповца» на 2014-2018 годы</v>
      </c>
      <c r="B493" s="115">
        <v>803</v>
      </c>
      <c r="C493" s="8" t="s">
        <v>229</v>
      </c>
      <c r="D493" s="8" t="s">
        <v>223</v>
      </c>
      <c r="E493" s="115" t="s">
        <v>47</v>
      </c>
      <c r="F493" s="115"/>
      <c r="G493" s="70">
        <f>G494</f>
        <v>136626.2</v>
      </c>
      <c r="H493" s="70">
        <f>H494</f>
        <v>0</v>
      </c>
      <c r="I493" s="70">
        <f t="shared" si="105"/>
        <v>136626.2</v>
      </c>
      <c r="J493" s="70">
        <f>J494</f>
        <v>-898.9000000000001</v>
      </c>
      <c r="K493" s="87">
        <f t="shared" si="104"/>
        <v>135727.30000000002</v>
      </c>
      <c r="L493" s="13">
        <f>L494</f>
        <v>-2173.2</v>
      </c>
      <c r="M493" s="87">
        <f t="shared" si="98"/>
        <v>133554.1</v>
      </c>
      <c r="N493" s="13">
        <f>N494</f>
        <v>0</v>
      </c>
      <c r="O493" s="87">
        <f t="shared" si="99"/>
        <v>133554.1</v>
      </c>
      <c r="P493" s="13">
        <f>P494</f>
        <v>-140.2</v>
      </c>
      <c r="Q493" s="87">
        <f t="shared" si="96"/>
        <v>133413.9</v>
      </c>
      <c r="R493" s="13">
        <f>R494</f>
        <v>-1759.9</v>
      </c>
      <c r="S493" s="87">
        <f aca="true" t="shared" si="109" ref="S493:S556">Q493+R493</f>
        <v>131654</v>
      </c>
    </row>
    <row r="494" spans="1:19" ht="12.75">
      <c r="A494" s="62" t="str">
        <f ca="1">IF(ISERROR(MATCH(E494,Код_КЦСР,0)),"",INDIRECT(ADDRESS(MATCH(E494,Код_КЦСР,0)+1,2,,,"КЦСР")))</f>
        <v>Развитие благоустройства города</v>
      </c>
      <c r="B494" s="115">
        <v>803</v>
      </c>
      <c r="C494" s="8" t="s">
        <v>229</v>
      </c>
      <c r="D494" s="8" t="s">
        <v>223</v>
      </c>
      <c r="E494" s="115" t="s">
        <v>48</v>
      </c>
      <c r="F494" s="115"/>
      <c r="G494" s="70">
        <f>G495</f>
        <v>136626.2</v>
      </c>
      <c r="H494" s="70">
        <f>H495</f>
        <v>0</v>
      </c>
      <c r="I494" s="70">
        <f t="shared" si="105"/>
        <v>136626.2</v>
      </c>
      <c r="J494" s="70">
        <f>J495</f>
        <v>-898.9000000000001</v>
      </c>
      <c r="K494" s="87">
        <f t="shared" si="104"/>
        <v>135727.30000000002</v>
      </c>
      <c r="L494" s="13">
        <f>L495</f>
        <v>-2173.2</v>
      </c>
      <c r="M494" s="87">
        <f t="shared" si="98"/>
        <v>133554.1</v>
      </c>
      <c r="N494" s="13">
        <f>N495</f>
        <v>0</v>
      </c>
      <c r="O494" s="87">
        <f t="shared" si="99"/>
        <v>133554.1</v>
      </c>
      <c r="P494" s="13">
        <f>P495</f>
        <v>-140.2</v>
      </c>
      <c r="Q494" s="87">
        <f t="shared" si="96"/>
        <v>133413.9</v>
      </c>
      <c r="R494" s="13">
        <f>R495</f>
        <v>-1759.9</v>
      </c>
      <c r="S494" s="87">
        <f t="shared" si="109"/>
        <v>131654</v>
      </c>
    </row>
    <row r="495" spans="1:19" ht="33">
      <c r="A495" s="62" t="str">
        <f ca="1">IF(ISERROR(MATCH(E495,Код_КЦСР,0)),"",INDIRECT(ADDRESS(MATCH(E495,Код_КЦСР,0)+1,2,,,"КЦСР")))</f>
        <v>Мероприятия по благоустройству и повышению внешней привлекательности города</v>
      </c>
      <c r="B495" s="115">
        <v>803</v>
      </c>
      <c r="C495" s="8" t="s">
        <v>229</v>
      </c>
      <c r="D495" s="8" t="s">
        <v>223</v>
      </c>
      <c r="E495" s="115" t="s">
        <v>50</v>
      </c>
      <c r="F495" s="115"/>
      <c r="G495" s="70">
        <f>G496+G499</f>
        <v>136626.2</v>
      </c>
      <c r="H495" s="70">
        <f>H496+H499</f>
        <v>0</v>
      </c>
      <c r="I495" s="70">
        <f t="shared" si="105"/>
        <v>136626.2</v>
      </c>
      <c r="J495" s="70">
        <f>J496+J499</f>
        <v>-898.9000000000001</v>
      </c>
      <c r="K495" s="87">
        <f t="shared" si="104"/>
        <v>135727.30000000002</v>
      </c>
      <c r="L495" s="13">
        <f>L496+L499</f>
        <v>-2173.2</v>
      </c>
      <c r="M495" s="87">
        <f t="shared" si="98"/>
        <v>133554.1</v>
      </c>
      <c r="N495" s="13">
        <f>N496+N499</f>
        <v>0</v>
      </c>
      <c r="O495" s="87">
        <f t="shared" si="99"/>
        <v>133554.1</v>
      </c>
      <c r="P495" s="13">
        <f>P496+P499</f>
        <v>-140.2</v>
      </c>
      <c r="Q495" s="87">
        <f t="shared" si="96"/>
        <v>133413.9</v>
      </c>
      <c r="R495" s="13">
        <f>R496+R499</f>
        <v>-1759.9</v>
      </c>
      <c r="S495" s="87">
        <f t="shared" si="109"/>
        <v>131654</v>
      </c>
    </row>
    <row r="496" spans="1:19" ht="12.75">
      <c r="A496" s="62" t="str">
        <f ca="1">IF(ISERROR(MATCH(F496,Код_КВР,0)),"",INDIRECT(ADDRESS(MATCH(F496,Код_КВР,0)+1,2,,,"КВР")))</f>
        <v>Закупка товаров, работ и услуг для муниципальных нужд</v>
      </c>
      <c r="B496" s="115">
        <v>803</v>
      </c>
      <c r="C496" s="8" t="s">
        <v>229</v>
      </c>
      <c r="D496" s="8" t="s">
        <v>223</v>
      </c>
      <c r="E496" s="115" t="s">
        <v>50</v>
      </c>
      <c r="F496" s="115">
        <v>200</v>
      </c>
      <c r="G496" s="70">
        <f>G497</f>
        <v>104444.7</v>
      </c>
      <c r="H496" s="70">
        <f>H497</f>
        <v>0</v>
      </c>
      <c r="I496" s="70">
        <f t="shared" si="105"/>
        <v>104444.7</v>
      </c>
      <c r="J496" s="70">
        <f>J497</f>
        <v>286.2</v>
      </c>
      <c r="K496" s="87">
        <f t="shared" si="104"/>
        <v>104730.9</v>
      </c>
      <c r="L496" s="13">
        <f>L497</f>
        <v>-2173.2</v>
      </c>
      <c r="M496" s="87">
        <f t="shared" si="98"/>
        <v>102557.7</v>
      </c>
      <c r="N496" s="13">
        <f>N497</f>
        <v>0</v>
      </c>
      <c r="O496" s="87">
        <f t="shared" si="99"/>
        <v>102557.7</v>
      </c>
      <c r="P496" s="13">
        <f>P497</f>
        <v>-140.2</v>
      </c>
      <c r="Q496" s="87">
        <f t="shared" si="96"/>
        <v>102417.5</v>
      </c>
      <c r="R496" s="13">
        <f>R497</f>
        <v>-1759.9</v>
      </c>
      <c r="S496" s="87">
        <f t="shared" si="109"/>
        <v>100657.6</v>
      </c>
    </row>
    <row r="497" spans="1:19" ht="33">
      <c r="A497" s="62" t="str">
        <f ca="1">IF(ISERROR(MATCH(F497,Код_КВР,0)),"",INDIRECT(ADDRESS(MATCH(F497,Код_КВР,0)+1,2,,,"КВР")))</f>
        <v>Иные закупки товаров, работ и услуг для обеспечения муниципальных нужд</v>
      </c>
      <c r="B497" s="115">
        <v>803</v>
      </c>
      <c r="C497" s="8" t="s">
        <v>229</v>
      </c>
      <c r="D497" s="8" t="s">
        <v>223</v>
      </c>
      <c r="E497" s="115" t="s">
        <v>50</v>
      </c>
      <c r="F497" s="115">
        <v>240</v>
      </c>
      <c r="G497" s="70">
        <f>G498</f>
        <v>104444.7</v>
      </c>
      <c r="H497" s="70">
        <f>H498</f>
        <v>0</v>
      </c>
      <c r="I497" s="70">
        <f t="shared" si="105"/>
        <v>104444.7</v>
      </c>
      <c r="J497" s="70">
        <f>J498</f>
        <v>286.2</v>
      </c>
      <c r="K497" s="87">
        <f t="shared" si="104"/>
        <v>104730.9</v>
      </c>
      <c r="L497" s="13">
        <f>L498</f>
        <v>-2173.2</v>
      </c>
      <c r="M497" s="87">
        <f t="shared" si="98"/>
        <v>102557.7</v>
      </c>
      <c r="N497" s="13">
        <f>N498</f>
        <v>0</v>
      </c>
      <c r="O497" s="87">
        <f t="shared" si="99"/>
        <v>102557.7</v>
      </c>
      <c r="P497" s="13">
        <f>P498</f>
        <v>-140.2</v>
      </c>
      <c r="Q497" s="87">
        <f t="shared" si="96"/>
        <v>102417.5</v>
      </c>
      <c r="R497" s="13">
        <f>R498</f>
        <v>-1759.9</v>
      </c>
      <c r="S497" s="87">
        <f t="shared" si="109"/>
        <v>100657.6</v>
      </c>
    </row>
    <row r="498" spans="1:19" ht="33">
      <c r="A498" s="62" t="str">
        <f ca="1">IF(ISERROR(MATCH(F498,Код_КВР,0)),"",INDIRECT(ADDRESS(MATCH(F498,Код_КВР,0)+1,2,,,"КВР")))</f>
        <v xml:space="preserve">Прочая закупка товаров, работ и услуг для обеспечения муниципальных нужд         </v>
      </c>
      <c r="B498" s="115">
        <v>803</v>
      </c>
      <c r="C498" s="8" t="s">
        <v>229</v>
      </c>
      <c r="D498" s="8" t="s">
        <v>223</v>
      </c>
      <c r="E498" s="115" t="s">
        <v>50</v>
      </c>
      <c r="F498" s="115">
        <v>244</v>
      </c>
      <c r="G498" s="70">
        <v>104444.7</v>
      </c>
      <c r="H498" s="65"/>
      <c r="I498" s="70">
        <f t="shared" si="105"/>
        <v>104444.7</v>
      </c>
      <c r="J498" s="65">
        <v>286.2</v>
      </c>
      <c r="K498" s="87">
        <f t="shared" si="104"/>
        <v>104730.9</v>
      </c>
      <c r="L498" s="87">
        <f>1005-29.9-97.4-2592.7-458.2</f>
        <v>-2173.2</v>
      </c>
      <c r="M498" s="87">
        <f t="shared" si="98"/>
        <v>102557.7</v>
      </c>
      <c r="N498" s="87"/>
      <c r="O498" s="87">
        <f t="shared" si="99"/>
        <v>102557.7</v>
      </c>
      <c r="P498" s="87">
        <v>-140.2</v>
      </c>
      <c r="Q498" s="87">
        <f aca="true" t="shared" si="110" ref="Q498:Q561">O498+P498</f>
        <v>102417.5</v>
      </c>
      <c r="R498" s="87">
        <f>-219.8-20.9-34.5-497-152-490.2-34.8-310.7</f>
        <v>-1759.9</v>
      </c>
      <c r="S498" s="87">
        <f t="shared" si="109"/>
        <v>100657.6</v>
      </c>
    </row>
    <row r="499" spans="1:19" ht="12.75">
      <c r="A499" s="62" t="str">
        <f ca="1">IF(ISERROR(MATCH(F499,Код_КВР,0)),"",INDIRECT(ADDRESS(MATCH(F499,Код_КВР,0)+1,2,,,"КВР")))</f>
        <v>Иные бюджетные ассигнования</v>
      </c>
      <c r="B499" s="115">
        <v>803</v>
      </c>
      <c r="C499" s="8" t="s">
        <v>229</v>
      </c>
      <c r="D499" s="8" t="s">
        <v>223</v>
      </c>
      <c r="E499" s="115" t="s">
        <v>50</v>
      </c>
      <c r="F499" s="115">
        <v>800</v>
      </c>
      <c r="G499" s="70">
        <f>G500</f>
        <v>32181.5</v>
      </c>
      <c r="H499" s="70">
        <f>H500</f>
        <v>0</v>
      </c>
      <c r="I499" s="70">
        <f t="shared" si="105"/>
        <v>32181.5</v>
      </c>
      <c r="J499" s="70">
        <f>J500</f>
        <v>-1185.1000000000001</v>
      </c>
      <c r="K499" s="87">
        <f t="shared" si="104"/>
        <v>30996.4</v>
      </c>
      <c r="L499" s="13">
        <f>L500</f>
        <v>0</v>
      </c>
      <c r="M499" s="87">
        <f t="shared" si="98"/>
        <v>30996.4</v>
      </c>
      <c r="N499" s="13">
        <f>N500</f>
        <v>0</v>
      </c>
      <c r="O499" s="87">
        <f t="shared" si="99"/>
        <v>30996.4</v>
      </c>
      <c r="P499" s="13">
        <f>P500</f>
        <v>0</v>
      </c>
      <c r="Q499" s="87">
        <f t="shared" si="110"/>
        <v>30996.4</v>
      </c>
      <c r="R499" s="13">
        <f>R500</f>
        <v>0</v>
      </c>
      <c r="S499" s="87">
        <f t="shared" si="109"/>
        <v>30996.4</v>
      </c>
    </row>
    <row r="500" spans="1:19" ht="33">
      <c r="A500" s="62" t="str">
        <f ca="1">IF(ISERROR(MATCH(F500,Код_КВР,0)),"",INDIRECT(ADDRESS(MATCH(F500,Код_КВР,0)+1,2,,,"КВР")))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00" s="115">
        <v>803</v>
      </c>
      <c r="C500" s="8" t="s">
        <v>229</v>
      </c>
      <c r="D500" s="8" t="s">
        <v>223</v>
      </c>
      <c r="E500" s="115" t="s">
        <v>50</v>
      </c>
      <c r="F500" s="115">
        <v>810</v>
      </c>
      <c r="G500" s="70">
        <v>32181.5</v>
      </c>
      <c r="H500" s="65"/>
      <c r="I500" s="70">
        <f t="shared" si="105"/>
        <v>32181.5</v>
      </c>
      <c r="J500" s="65">
        <f>-1411.7+226.6</f>
        <v>-1185.1000000000001</v>
      </c>
      <c r="K500" s="87">
        <f t="shared" si="104"/>
        <v>30996.4</v>
      </c>
      <c r="L500" s="87"/>
      <c r="M500" s="87">
        <f t="shared" si="98"/>
        <v>30996.4</v>
      </c>
      <c r="N500" s="87"/>
      <c r="O500" s="87">
        <f t="shared" si="99"/>
        <v>30996.4</v>
      </c>
      <c r="P500" s="87"/>
      <c r="Q500" s="87">
        <f t="shared" si="110"/>
        <v>30996.4</v>
      </c>
      <c r="R500" s="87"/>
      <c r="S500" s="87">
        <f t="shared" si="109"/>
        <v>30996.4</v>
      </c>
    </row>
    <row r="501" spans="1:19" ht="33">
      <c r="A501" s="62" t="str">
        <f ca="1">IF(ISERROR(MATCH(E501,Код_КЦСР,0)),"",INDIRECT(ADDRESS(MATCH(E501,Код_КЦСР,0)+1,2,,,"КЦСР")))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501" s="115">
        <v>803</v>
      </c>
      <c r="C501" s="8" t="s">
        <v>229</v>
      </c>
      <c r="D501" s="8" t="s">
        <v>223</v>
      </c>
      <c r="E501" s="115" t="s">
        <v>144</v>
      </c>
      <c r="F501" s="115"/>
      <c r="G501" s="70">
        <f aca="true" t="shared" si="111" ref="G501:R504">G502</f>
        <v>84.2</v>
      </c>
      <c r="H501" s="70">
        <f t="shared" si="111"/>
        <v>0</v>
      </c>
      <c r="I501" s="70">
        <f t="shared" si="105"/>
        <v>84.2</v>
      </c>
      <c r="J501" s="70">
        <f t="shared" si="111"/>
        <v>0</v>
      </c>
      <c r="K501" s="87">
        <f t="shared" si="104"/>
        <v>84.2</v>
      </c>
      <c r="L501" s="13">
        <f t="shared" si="111"/>
        <v>0</v>
      </c>
      <c r="M501" s="87">
        <f t="shared" si="98"/>
        <v>84.2</v>
      </c>
      <c r="N501" s="13">
        <f t="shared" si="111"/>
        <v>0</v>
      </c>
      <c r="O501" s="87">
        <f t="shared" si="99"/>
        <v>84.2</v>
      </c>
      <c r="P501" s="13">
        <f t="shared" si="111"/>
        <v>0</v>
      </c>
      <c r="Q501" s="87">
        <f t="shared" si="110"/>
        <v>84.2</v>
      </c>
      <c r="R501" s="13">
        <f t="shared" si="111"/>
        <v>0</v>
      </c>
      <c r="S501" s="87">
        <f t="shared" si="109"/>
        <v>84.2</v>
      </c>
    </row>
    <row r="502" spans="1:19" ht="33">
      <c r="A502" s="62" t="str">
        <f ca="1">IF(ISERROR(MATCH(E502,Код_КЦСР,0)),"",INDIRECT(ADDRESS(MATCH(E502,Код_КЦСР,0)+1,2,,,"КЦСР")))</f>
        <v>Проведение мероприятий по формированию благоприятного имиджа города</v>
      </c>
      <c r="B502" s="115">
        <v>803</v>
      </c>
      <c r="C502" s="8" t="s">
        <v>229</v>
      </c>
      <c r="D502" s="8" t="s">
        <v>223</v>
      </c>
      <c r="E502" s="115" t="s">
        <v>148</v>
      </c>
      <c r="F502" s="115"/>
      <c r="G502" s="70">
        <f t="shared" si="111"/>
        <v>84.2</v>
      </c>
      <c r="H502" s="70">
        <f t="shared" si="111"/>
        <v>0</v>
      </c>
      <c r="I502" s="70">
        <f t="shared" si="105"/>
        <v>84.2</v>
      </c>
      <c r="J502" s="70">
        <f t="shared" si="111"/>
        <v>0</v>
      </c>
      <c r="K502" s="87">
        <f t="shared" si="104"/>
        <v>84.2</v>
      </c>
      <c r="L502" s="13">
        <f t="shared" si="111"/>
        <v>0</v>
      </c>
      <c r="M502" s="87">
        <f t="shared" si="98"/>
        <v>84.2</v>
      </c>
      <c r="N502" s="13">
        <f t="shared" si="111"/>
        <v>0</v>
      </c>
      <c r="O502" s="87">
        <f t="shared" si="99"/>
        <v>84.2</v>
      </c>
      <c r="P502" s="13">
        <f t="shared" si="111"/>
        <v>0</v>
      </c>
      <c r="Q502" s="87">
        <f t="shared" si="110"/>
        <v>84.2</v>
      </c>
      <c r="R502" s="13">
        <f t="shared" si="111"/>
        <v>0</v>
      </c>
      <c r="S502" s="87">
        <f t="shared" si="109"/>
        <v>84.2</v>
      </c>
    </row>
    <row r="503" spans="1:19" ht="12.75">
      <c r="A503" s="62" t="str">
        <f ca="1">IF(ISERROR(MATCH(F503,Код_КВР,0)),"",INDIRECT(ADDRESS(MATCH(F503,Код_КВР,0)+1,2,,,"КВР")))</f>
        <v>Закупка товаров, работ и услуг для муниципальных нужд</v>
      </c>
      <c r="B503" s="115">
        <v>803</v>
      </c>
      <c r="C503" s="8" t="s">
        <v>229</v>
      </c>
      <c r="D503" s="8" t="s">
        <v>223</v>
      </c>
      <c r="E503" s="115" t="s">
        <v>148</v>
      </c>
      <c r="F503" s="115">
        <v>200</v>
      </c>
      <c r="G503" s="70">
        <f t="shared" si="111"/>
        <v>84.2</v>
      </c>
      <c r="H503" s="70">
        <f t="shared" si="111"/>
        <v>0</v>
      </c>
      <c r="I503" s="70">
        <f t="shared" si="105"/>
        <v>84.2</v>
      </c>
      <c r="J503" s="70">
        <f t="shared" si="111"/>
        <v>0</v>
      </c>
      <c r="K503" s="87">
        <f t="shared" si="104"/>
        <v>84.2</v>
      </c>
      <c r="L503" s="13">
        <f t="shared" si="111"/>
        <v>0</v>
      </c>
      <c r="M503" s="87">
        <f t="shared" si="98"/>
        <v>84.2</v>
      </c>
      <c r="N503" s="13">
        <f t="shared" si="111"/>
        <v>0</v>
      </c>
      <c r="O503" s="87">
        <f t="shared" si="99"/>
        <v>84.2</v>
      </c>
      <c r="P503" s="13">
        <f t="shared" si="111"/>
        <v>0</v>
      </c>
      <c r="Q503" s="87">
        <f t="shared" si="110"/>
        <v>84.2</v>
      </c>
      <c r="R503" s="13">
        <f t="shared" si="111"/>
        <v>0</v>
      </c>
      <c r="S503" s="87">
        <f t="shared" si="109"/>
        <v>84.2</v>
      </c>
    </row>
    <row r="504" spans="1:19" ht="33">
      <c r="A504" s="62" t="str">
        <f ca="1">IF(ISERROR(MATCH(F504,Код_КВР,0)),"",INDIRECT(ADDRESS(MATCH(F504,Код_КВР,0)+1,2,,,"КВР")))</f>
        <v>Иные закупки товаров, работ и услуг для обеспечения муниципальных нужд</v>
      </c>
      <c r="B504" s="115">
        <v>803</v>
      </c>
      <c r="C504" s="8" t="s">
        <v>229</v>
      </c>
      <c r="D504" s="8" t="s">
        <v>223</v>
      </c>
      <c r="E504" s="115" t="s">
        <v>148</v>
      </c>
      <c r="F504" s="115">
        <v>240</v>
      </c>
      <c r="G504" s="70">
        <f t="shared" si="111"/>
        <v>84.2</v>
      </c>
      <c r="H504" s="70">
        <f t="shared" si="111"/>
        <v>0</v>
      </c>
      <c r="I504" s="70">
        <f t="shared" si="105"/>
        <v>84.2</v>
      </c>
      <c r="J504" s="70">
        <f t="shared" si="111"/>
        <v>0</v>
      </c>
      <c r="K504" s="87">
        <f t="shared" si="104"/>
        <v>84.2</v>
      </c>
      <c r="L504" s="13">
        <f t="shared" si="111"/>
        <v>0</v>
      </c>
      <c r="M504" s="87">
        <f aca="true" t="shared" si="112" ref="M504:M580">K504+L504</f>
        <v>84.2</v>
      </c>
      <c r="N504" s="13">
        <f t="shared" si="111"/>
        <v>0</v>
      </c>
      <c r="O504" s="87">
        <f aca="true" t="shared" si="113" ref="O504:O580">M504+N504</f>
        <v>84.2</v>
      </c>
      <c r="P504" s="13">
        <f t="shared" si="111"/>
        <v>0</v>
      </c>
      <c r="Q504" s="87">
        <f t="shared" si="110"/>
        <v>84.2</v>
      </c>
      <c r="R504" s="13">
        <f t="shared" si="111"/>
        <v>0</v>
      </c>
      <c r="S504" s="87">
        <f t="shared" si="109"/>
        <v>84.2</v>
      </c>
    </row>
    <row r="505" spans="1:19" ht="33">
      <c r="A505" s="62" t="str">
        <f ca="1">IF(ISERROR(MATCH(F505,Код_КВР,0)),"",INDIRECT(ADDRESS(MATCH(F505,Код_КВР,0)+1,2,,,"КВР")))</f>
        <v xml:space="preserve">Прочая закупка товаров, работ и услуг для обеспечения муниципальных нужд         </v>
      </c>
      <c r="B505" s="115">
        <v>803</v>
      </c>
      <c r="C505" s="8" t="s">
        <v>229</v>
      </c>
      <c r="D505" s="8" t="s">
        <v>223</v>
      </c>
      <c r="E505" s="115" t="s">
        <v>148</v>
      </c>
      <c r="F505" s="115">
        <v>244</v>
      </c>
      <c r="G505" s="70">
        <v>84.2</v>
      </c>
      <c r="H505" s="65"/>
      <c r="I505" s="70">
        <f t="shared" si="105"/>
        <v>84.2</v>
      </c>
      <c r="J505" s="65"/>
      <c r="K505" s="87">
        <f t="shared" si="104"/>
        <v>84.2</v>
      </c>
      <c r="L505" s="87"/>
      <c r="M505" s="87">
        <f t="shared" si="112"/>
        <v>84.2</v>
      </c>
      <c r="N505" s="87"/>
      <c r="O505" s="87">
        <f t="shared" si="113"/>
        <v>84.2</v>
      </c>
      <c r="P505" s="87"/>
      <c r="Q505" s="87">
        <f t="shared" si="110"/>
        <v>84.2</v>
      </c>
      <c r="R505" s="87"/>
      <c r="S505" s="87">
        <f t="shared" si="109"/>
        <v>84.2</v>
      </c>
    </row>
    <row r="506" spans="1:19" ht="12.75">
      <c r="A506" s="12" t="s">
        <v>172</v>
      </c>
      <c r="B506" s="115">
        <v>803</v>
      </c>
      <c r="C506" s="8" t="s">
        <v>229</v>
      </c>
      <c r="D506" s="8" t="s">
        <v>229</v>
      </c>
      <c r="E506" s="115"/>
      <c r="F506" s="115"/>
      <c r="G506" s="70">
        <f aca="true" t="shared" si="114" ref="G506:R508">G507</f>
        <v>21929.300000000003</v>
      </c>
      <c r="H506" s="70">
        <f t="shared" si="114"/>
        <v>0</v>
      </c>
      <c r="I506" s="70">
        <f t="shared" si="105"/>
        <v>21929.300000000003</v>
      </c>
      <c r="J506" s="70">
        <f t="shared" si="114"/>
        <v>0</v>
      </c>
      <c r="K506" s="87">
        <f t="shared" si="104"/>
        <v>21929.300000000003</v>
      </c>
      <c r="L506" s="13">
        <f t="shared" si="114"/>
        <v>0</v>
      </c>
      <c r="M506" s="87">
        <f t="shared" si="112"/>
        <v>21929.300000000003</v>
      </c>
      <c r="N506" s="13">
        <f t="shared" si="114"/>
        <v>0</v>
      </c>
      <c r="O506" s="87">
        <f t="shared" si="113"/>
        <v>21929.300000000003</v>
      </c>
      <c r="P506" s="13">
        <f t="shared" si="114"/>
        <v>0</v>
      </c>
      <c r="Q506" s="87">
        <f t="shared" si="110"/>
        <v>21929.300000000003</v>
      </c>
      <c r="R506" s="13">
        <f t="shared" si="114"/>
        <v>0</v>
      </c>
      <c r="S506" s="87">
        <f t="shared" si="109"/>
        <v>21929.300000000003</v>
      </c>
    </row>
    <row r="507" spans="1:19" ht="33">
      <c r="A507" s="62" t="str">
        <f ca="1">IF(ISERROR(MATCH(E507,Код_КЦСР,0)),"",INDIRECT(ADDRESS(MATCH(E507,Код_КЦСР,0)+1,2,,,"КЦСР")))</f>
        <v>Непрограммные направления деятельности органов местного самоуправления</v>
      </c>
      <c r="B507" s="115">
        <v>803</v>
      </c>
      <c r="C507" s="8" t="s">
        <v>229</v>
      </c>
      <c r="D507" s="8" t="s">
        <v>229</v>
      </c>
      <c r="E507" s="115" t="s">
        <v>307</v>
      </c>
      <c r="F507" s="115"/>
      <c r="G507" s="70">
        <f t="shared" si="114"/>
        <v>21929.300000000003</v>
      </c>
      <c r="H507" s="70">
        <f t="shared" si="114"/>
        <v>0</v>
      </c>
      <c r="I507" s="70">
        <f t="shared" si="105"/>
        <v>21929.300000000003</v>
      </c>
      <c r="J507" s="70">
        <f t="shared" si="114"/>
        <v>0</v>
      </c>
      <c r="K507" s="87">
        <f t="shared" si="104"/>
        <v>21929.300000000003</v>
      </c>
      <c r="L507" s="13">
        <f t="shared" si="114"/>
        <v>0</v>
      </c>
      <c r="M507" s="87">
        <f t="shared" si="112"/>
        <v>21929.300000000003</v>
      </c>
      <c r="N507" s="13">
        <f t="shared" si="114"/>
        <v>0</v>
      </c>
      <c r="O507" s="87">
        <f t="shared" si="113"/>
        <v>21929.300000000003</v>
      </c>
      <c r="P507" s="13">
        <f t="shared" si="114"/>
        <v>0</v>
      </c>
      <c r="Q507" s="87">
        <f t="shared" si="110"/>
        <v>21929.300000000003</v>
      </c>
      <c r="R507" s="13">
        <f t="shared" si="114"/>
        <v>0</v>
      </c>
      <c r="S507" s="87">
        <f t="shared" si="109"/>
        <v>21929.300000000003</v>
      </c>
    </row>
    <row r="508" spans="1:19" ht="12.75">
      <c r="A508" s="62" t="str">
        <f ca="1">IF(ISERROR(MATCH(E508,Код_КЦСР,0)),"",INDIRECT(ADDRESS(MATCH(E508,Код_КЦСР,0)+1,2,,,"КЦСР")))</f>
        <v>Расходы, не включенные в муниципальные программы города Череповца</v>
      </c>
      <c r="B508" s="115">
        <v>803</v>
      </c>
      <c r="C508" s="8" t="s">
        <v>229</v>
      </c>
      <c r="D508" s="8" t="s">
        <v>229</v>
      </c>
      <c r="E508" s="115" t="s">
        <v>309</v>
      </c>
      <c r="F508" s="115"/>
      <c r="G508" s="70">
        <f t="shared" si="114"/>
        <v>21929.300000000003</v>
      </c>
      <c r="H508" s="70">
        <f t="shared" si="114"/>
        <v>0</v>
      </c>
      <c r="I508" s="70">
        <f t="shared" si="105"/>
        <v>21929.300000000003</v>
      </c>
      <c r="J508" s="70">
        <f t="shared" si="114"/>
        <v>0</v>
      </c>
      <c r="K508" s="87">
        <f t="shared" si="104"/>
        <v>21929.300000000003</v>
      </c>
      <c r="L508" s="13">
        <f t="shared" si="114"/>
        <v>0</v>
      </c>
      <c r="M508" s="87">
        <f t="shared" si="112"/>
        <v>21929.300000000003</v>
      </c>
      <c r="N508" s="13">
        <f t="shared" si="114"/>
        <v>0</v>
      </c>
      <c r="O508" s="87">
        <f t="shared" si="113"/>
        <v>21929.300000000003</v>
      </c>
      <c r="P508" s="13">
        <f t="shared" si="114"/>
        <v>0</v>
      </c>
      <c r="Q508" s="87">
        <f t="shared" si="110"/>
        <v>21929.300000000003</v>
      </c>
      <c r="R508" s="13">
        <f t="shared" si="114"/>
        <v>0</v>
      </c>
      <c r="S508" s="87">
        <f t="shared" si="109"/>
        <v>21929.300000000003</v>
      </c>
    </row>
    <row r="509" spans="1:19" ht="33">
      <c r="A509" s="62" t="str">
        <f ca="1">IF(ISERROR(MATCH(E509,Код_КЦСР,0)),"",INDIRECT(ADDRESS(MATCH(E509,Код_КЦСР,0)+1,2,,,"КЦСР")))</f>
        <v>Руководство и управление в сфере установленных функций органов местного самоуправления</v>
      </c>
      <c r="B509" s="115">
        <v>803</v>
      </c>
      <c r="C509" s="8" t="s">
        <v>229</v>
      </c>
      <c r="D509" s="8" t="s">
        <v>229</v>
      </c>
      <c r="E509" s="115" t="s">
        <v>311</v>
      </c>
      <c r="F509" s="115"/>
      <c r="G509" s="70">
        <f>G511+G513+G516</f>
        <v>21929.300000000003</v>
      </c>
      <c r="H509" s="70">
        <f>H511+H513+H516</f>
        <v>0</v>
      </c>
      <c r="I509" s="70">
        <f t="shared" si="105"/>
        <v>21929.300000000003</v>
      </c>
      <c r="J509" s="70">
        <f>J511+J513+J516</f>
        <v>0</v>
      </c>
      <c r="K509" s="87">
        <f t="shared" si="104"/>
        <v>21929.300000000003</v>
      </c>
      <c r="L509" s="13">
        <f>L511+L513+L516</f>
        <v>0</v>
      </c>
      <c r="M509" s="87">
        <f t="shared" si="112"/>
        <v>21929.300000000003</v>
      </c>
      <c r="N509" s="13">
        <f>N511+N513+N516</f>
        <v>0</v>
      </c>
      <c r="O509" s="87">
        <f t="shared" si="113"/>
        <v>21929.300000000003</v>
      </c>
      <c r="P509" s="13">
        <f>P511+P513+P516</f>
        <v>0</v>
      </c>
      <c r="Q509" s="87">
        <f t="shared" si="110"/>
        <v>21929.300000000003</v>
      </c>
      <c r="R509" s="13">
        <f>R511+R513+R516</f>
        <v>0</v>
      </c>
      <c r="S509" s="87">
        <f t="shared" si="109"/>
        <v>21929.300000000003</v>
      </c>
    </row>
    <row r="510" spans="1:19" ht="12.75">
      <c r="A510" s="62" t="str">
        <f ca="1">IF(ISERROR(MATCH(E510,Код_КЦСР,0)),"",INDIRECT(ADDRESS(MATCH(E510,Код_КЦСР,0)+1,2,,,"КЦСР")))</f>
        <v>Центральный аппарат</v>
      </c>
      <c r="B510" s="115">
        <v>803</v>
      </c>
      <c r="C510" s="8" t="s">
        <v>229</v>
      </c>
      <c r="D510" s="8" t="s">
        <v>229</v>
      </c>
      <c r="E510" s="115" t="s">
        <v>314</v>
      </c>
      <c r="F510" s="115"/>
      <c r="G510" s="70">
        <f>G511+G513+G516</f>
        <v>21929.300000000003</v>
      </c>
      <c r="H510" s="70">
        <f>H511+H513+H516</f>
        <v>0</v>
      </c>
      <c r="I510" s="70">
        <f t="shared" si="105"/>
        <v>21929.300000000003</v>
      </c>
      <c r="J510" s="70">
        <f>J511+J513+J516</f>
        <v>0</v>
      </c>
      <c r="K510" s="87">
        <f t="shared" si="104"/>
        <v>21929.300000000003</v>
      </c>
      <c r="L510" s="13">
        <f>L511+L513+L516</f>
        <v>0</v>
      </c>
      <c r="M510" s="87">
        <f t="shared" si="112"/>
        <v>21929.300000000003</v>
      </c>
      <c r="N510" s="13">
        <f>N511+N513+N516</f>
        <v>0</v>
      </c>
      <c r="O510" s="87">
        <f t="shared" si="113"/>
        <v>21929.300000000003</v>
      </c>
      <c r="P510" s="13">
        <f>P511+P513+P516</f>
        <v>0</v>
      </c>
      <c r="Q510" s="87">
        <f t="shared" si="110"/>
        <v>21929.300000000003</v>
      </c>
      <c r="R510" s="13">
        <f>R511+R513+R516</f>
        <v>0</v>
      </c>
      <c r="S510" s="87">
        <f t="shared" si="109"/>
        <v>21929.300000000003</v>
      </c>
    </row>
    <row r="511" spans="1:19" ht="33">
      <c r="A511" s="62" t="str">
        <f aca="true" t="shared" si="115" ref="A511:A517">IF(ISERROR(MATCH(F511,Код_КВР,0)),"",INDIRECT(ADDRESS(MATCH(F511,Код_КВР,0)+1,2,,,"КВР")))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11" s="115">
        <v>803</v>
      </c>
      <c r="C511" s="8" t="s">
        <v>229</v>
      </c>
      <c r="D511" s="8" t="s">
        <v>229</v>
      </c>
      <c r="E511" s="115" t="s">
        <v>314</v>
      </c>
      <c r="F511" s="115">
        <v>100</v>
      </c>
      <c r="G511" s="70">
        <f>G512</f>
        <v>21894.9</v>
      </c>
      <c r="H511" s="70">
        <f>H512</f>
        <v>0</v>
      </c>
      <c r="I511" s="70">
        <f t="shared" si="105"/>
        <v>21894.9</v>
      </c>
      <c r="J511" s="70">
        <f>J512</f>
        <v>0</v>
      </c>
      <c r="K511" s="87">
        <f t="shared" si="104"/>
        <v>21894.9</v>
      </c>
      <c r="L511" s="13">
        <f>L512</f>
        <v>0</v>
      </c>
      <c r="M511" s="87">
        <f t="shared" si="112"/>
        <v>21894.9</v>
      </c>
      <c r="N511" s="13">
        <f>N512</f>
        <v>0</v>
      </c>
      <c r="O511" s="87">
        <f t="shared" si="113"/>
        <v>21894.9</v>
      </c>
      <c r="P511" s="13">
        <f>P512</f>
        <v>0</v>
      </c>
      <c r="Q511" s="87">
        <f t="shared" si="110"/>
        <v>21894.9</v>
      </c>
      <c r="R511" s="13">
        <f>R512</f>
        <v>0</v>
      </c>
      <c r="S511" s="87">
        <f t="shared" si="109"/>
        <v>21894.9</v>
      </c>
    </row>
    <row r="512" spans="1:19" ht="12.75">
      <c r="A512" s="62" t="str">
        <f ca="1" t="shared" si="115"/>
        <v>Расходы на выплаты персоналу муниципальных органов</v>
      </c>
      <c r="B512" s="115">
        <v>803</v>
      </c>
      <c r="C512" s="8" t="s">
        <v>229</v>
      </c>
      <c r="D512" s="8" t="s">
        <v>229</v>
      </c>
      <c r="E512" s="115" t="s">
        <v>314</v>
      </c>
      <c r="F512" s="115">
        <v>120</v>
      </c>
      <c r="G512" s="70">
        <v>21894.9</v>
      </c>
      <c r="H512" s="70"/>
      <c r="I512" s="70">
        <f t="shared" si="105"/>
        <v>21894.9</v>
      </c>
      <c r="J512" s="70"/>
      <c r="K512" s="87">
        <f t="shared" si="104"/>
        <v>21894.9</v>
      </c>
      <c r="L512" s="13"/>
      <c r="M512" s="87">
        <f t="shared" si="112"/>
        <v>21894.9</v>
      </c>
      <c r="N512" s="13"/>
      <c r="O512" s="87">
        <f t="shared" si="113"/>
        <v>21894.9</v>
      </c>
      <c r="P512" s="13"/>
      <c r="Q512" s="87">
        <f t="shared" si="110"/>
        <v>21894.9</v>
      </c>
      <c r="R512" s="13"/>
      <c r="S512" s="87">
        <f t="shared" si="109"/>
        <v>21894.9</v>
      </c>
    </row>
    <row r="513" spans="1:19" ht="12.75">
      <c r="A513" s="62" t="str">
        <f ca="1" t="shared" si="115"/>
        <v>Закупка товаров, работ и услуг для муниципальных нужд</v>
      </c>
      <c r="B513" s="115">
        <v>803</v>
      </c>
      <c r="C513" s="8" t="s">
        <v>229</v>
      </c>
      <c r="D513" s="8" t="s">
        <v>229</v>
      </c>
      <c r="E513" s="115" t="s">
        <v>314</v>
      </c>
      <c r="F513" s="115">
        <v>200</v>
      </c>
      <c r="G513" s="70">
        <f>G514</f>
        <v>31.4</v>
      </c>
      <c r="H513" s="70">
        <f>H514</f>
        <v>0</v>
      </c>
      <c r="I513" s="70">
        <f t="shared" si="105"/>
        <v>31.4</v>
      </c>
      <c r="J513" s="70">
        <f>J514</f>
        <v>0</v>
      </c>
      <c r="K513" s="87">
        <f t="shared" si="104"/>
        <v>31.4</v>
      </c>
      <c r="L513" s="13">
        <f>L514</f>
        <v>0</v>
      </c>
      <c r="M513" s="87">
        <f t="shared" si="112"/>
        <v>31.4</v>
      </c>
      <c r="N513" s="13">
        <f>N514</f>
        <v>0</v>
      </c>
      <c r="O513" s="87">
        <f t="shared" si="113"/>
        <v>31.4</v>
      </c>
      <c r="P513" s="13">
        <f>P514</f>
        <v>0</v>
      </c>
      <c r="Q513" s="87">
        <f t="shared" si="110"/>
        <v>31.4</v>
      </c>
      <c r="R513" s="13">
        <f>R514</f>
        <v>0</v>
      </c>
      <c r="S513" s="87">
        <f t="shared" si="109"/>
        <v>31.4</v>
      </c>
    </row>
    <row r="514" spans="1:19" ht="33">
      <c r="A514" s="62" t="str">
        <f ca="1" t="shared" si="115"/>
        <v>Иные закупки товаров, работ и услуг для обеспечения муниципальных нужд</v>
      </c>
      <c r="B514" s="115">
        <v>803</v>
      </c>
      <c r="C514" s="8" t="s">
        <v>229</v>
      </c>
      <c r="D514" s="8" t="s">
        <v>229</v>
      </c>
      <c r="E514" s="115" t="s">
        <v>314</v>
      </c>
      <c r="F514" s="115">
        <v>240</v>
      </c>
      <c r="G514" s="70">
        <f>G515</f>
        <v>31.4</v>
      </c>
      <c r="H514" s="70">
        <f>H515</f>
        <v>0</v>
      </c>
      <c r="I514" s="70">
        <f t="shared" si="105"/>
        <v>31.4</v>
      </c>
      <c r="J514" s="70">
        <f>J515</f>
        <v>0</v>
      </c>
      <c r="K514" s="87">
        <f t="shared" si="104"/>
        <v>31.4</v>
      </c>
      <c r="L514" s="13">
        <f>L515</f>
        <v>0</v>
      </c>
      <c r="M514" s="87">
        <f t="shared" si="112"/>
        <v>31.4</v>
      </c>
      <c r="N514" s="13">
        <f>N515</f>
        <v>0</v>
      </c>
      <c r="O514" s="87">
        <f t="shared" si="113"/>
        <v>31.4</v>
      </c>
      <c r="P514" s="13">
        <f>P515</f>
        <v>0</v>
      </c>
      <c r="Q514" s="87">
        <f t="shared" si="110"/>
        <v>31.4</v>
      </c>
      <c r="R514" s="13">
        <f>R515</f>
        <v>0</v>
      </c>
      <c r="S514" s="87">
        <f t="shared" si="109"/>
        <v>31.4</v>
      </c>
    </row>
    <row r="515" spans="1:19" ht="33">
      <c r="A515" s="62" t="str">
        <f ca="1" t="shared" si="115"/>
        <v xml:space="preserve">Прочая закупка товаров, работ и услуг для обеспечения муниципальных нужд         </v>
      </c>
      <c r="B515" s="115">
        <v>803</v>
      </c>
      <c r="C515" s="8" t="s">
        <v>229</v>
      </c>
      <c r="D515" s="8" t="s">
        <v>229</v>
      </c>
      <c r="E515" s="115" t="s">
        <v>314</v>
      </c>
      <c r="F515" s="115">
        <v>244</v>
      </c>
      <c r="G515" s="70">
        <v>31.4</v>
      </c>
      <c r="H515" s="65"/>
      <c r="I515" s="70">
        <f t="shared" si="105"/>
        <v>31.4</v>
      </c>
      <c r="J515" s="65"/>
      <c r="K515" s="87">
        <f t="shared" si="104"/>
        <v>31.4</v>
      </c>
      <c r="L515" s="87"/>
      <c r="M515" s="87">
        <f t="shared" si="112"/>
        <v>31.4</v>
      </c>
      <c r="N515" s="87"/>
      <c r="O515" s="87">
        <f t="shared" si="113"/>
        <v>31.4</v>
      </c>
      <c r="P515" s="87"/>
      <c r="Q515" s="87">
        <f t="shared" si="110"/>
        <v>31.4</v>
      </c>
      <c r="R515" s="87"/>
      <c r="S515" s="87">
        <f t="shared" si="109"/>
        <v>31.4</v>
      </c>
    </row>
    <row r="516" spans="1:19" ht="12.75">
      <c r="A516" s="62" t="str">
        <f ca="1" t="shared" si="115"/>
        <v>Иные бюджетные ассигнования</v>
      </c>
      <c r="B516" s="115">
        <v>803</v>
      </c>
      <c r="C516" s="8" t="s">
        <v>229</v>
      </c>
      <c r="D516" s="8" t="s">
        <v>229</v>
      </c>
      <c r="E516" s="115" t="s">
        <v>314</v>
      </c>
      <c r="F516" s="115">
        <v>800</v>
      </c>
      <c r="G516" s="70">
        <f>G517</f>
        <v>3</v>
      </c>
      <c r="H516" s="70">
        <f>H517</f>
        <v>0</v>
      </c>
      <c r="I516" s="70">
        <f t="shared" si="105"/>
        <v>3</v>
      </c>
      <c r="J516" s="70">
        <f>J517</f>
        <v>0</v>
      </c>
      <c r="K516" s="87">
        <f t="shared" si="104"/>
        <v>3</v>
      </c>
      <c r="L516" s="13">
        <f>L517</f>
        <v>0</v>
      </c>
      <c r="M516" s="87">
        <f t="shared" si="112"/>
        <v>3</v>
      </c>
      <c r="N516" s="13">
        <f>N517</f>
        <v>0</v>
      </c>
      <c r="O516" s="87">
        <f t="shared" si="113"/>
        <v>3</v>
      </c>
      <c r="P516" s="13">
        <f>P517</f>
        <v>0</v>
      </c>
      <c r="Q516" s="87">
        <f t="shared" si="110"/>
        <v>3</v>
      </c>
      <c r="R516" s="13">
        <f>R517</f>
        <v>0</v>
      </c>
      <c r="S516" s="87">
        <f t="shared" si="109"/>
        <v>3</v>
      </c>
    </row>
    <row r="517" spans="1:19" ht="12.75">
      <c r="A517" s="62" t="str">
        <f ca="1" t="shared" si="115"/>
        <v>Уплата налогов, сборов и иных платежей</v>
      </c>
      <c r="B517" s="115">
        <v>803</v>
      </c>
      <c r="C517" s="8" t="s">
        <v>229</v>
      </c>
      <c r="D517" s="8" t="s">
        <v>229</v>
      </c>
      <c r="E517" s="115" t="s">
        <v>314</v>
      </c>
      <c r="F517" s="115">
        <v>850</v>
      </c>
      <c r="G517" s="70">
        <f>G518</f>
        <v>3</v>
      </c>
      <c r="H517" s="70">
        <f>H518</f>
        <v>0</v>
      </c>
      <c r="I517" s="70">
        <f t="shared" si="105"/>
        <v>3</v>
      </c>
      <c r="J517" s="70">
        <f>J518</f>
        <v>0</v>
      </c>
      <c r="K517" s="87">
        <f t="shared" si="104"/>
        <v>3</v>
      </c>
      <c r="L517" s="13">
        <f>L518</f>
        <v>0</v>
      </c>
      <c r="M517" s="87">
        <f t="shared" si="112"/>
        <v>3</v>
      </c>
      <c r="N517" s="13">
        <f>N518</f>
        <v>0</v>
      </c>
      <c r="O517" s="87">
        <f t="shared" si="113"/>
        <v>3</v>
      </c>
      <c r="P517" s="13">
        <f>P518</f>
        <v>0</v>
      </c>
      <c r="Q517" s="87">
        <f t="shared" si="110"/>
        <v>3</v>
      </c>
      <c r="R517" s="13">
        <f>R518</f>
        <v>0</v>
      </c>
      <c r="S517" s="87">
        <f t="shared" si="109"/>
        <v>3</v>
      </c>
    </row>
    <row r="518" spans="1:19" ht="12.75">
      <c r="A518" s="62" t="str">
        <f ca="1">IF(ISERROR(MATCH(F518,Код_КВР,0)),"",INDIRECT(ADDRESS(MATCH(F518,Код_КВР,0)+1,2,,,"КВР")))</f>
        <v>Уплата прочих налогов, сборов и иных платежей</v>
      </c>
      <c r="B518" s="115">
        <v>803</v>
      </c>
      <c r="C518" s="8" t="s">
        <v>229</v>
      </c>
      <c r="D518" s="8" t="s">
        <v>229</v>
      </c>
      <c r="E518" s="115" t="s">
        <v>314</v>
      </c>
      <c r="F518" s="115">
        <v>852</v>
      </c>
      <c r="G518" s="70">
        <v>3</v>
      </c>
      <c r="H518" s="65"/>
      <c r="I518" s="70">
        <f t="shared" si="105"/>
        <v>3</v>
      </c>
      <c r="J518" s="65"/>
      <c r="K518" s="87">
        <f t="shared" si="104"/>
        <v>3</v>
      </c>
      <c r="L518" s="87"/>
      <c r="M518" s="87">
        <f t="shared" si="112"/>
        <v>3</v>
      </c>
      <c r="N518" s="87"/>
      <c r="O518" s="87">
        <f t="shared" si="113"/>
        <v>3</v>
      </c>
      <c r="P518" s="87"/>
      <c r="Q518" s="87">
        <f t="shared" si="110"/>
        <v>3</v>
      </c>
      <c r="R518" s="87"/>
      <c r="S518" s="87">
        <f t="shared" si="109"/>
        <v>3</v>
      </c>
    </row>
    <row r="519" spans="1:19" ht="12.75">
      <c r="A519" s="62" t="str">
        <f ca="1">IF(ISERROR(MATCH(C519,Код_Раздел,0)),"",INDIRECT(ADDRESS(MATCH(C519,Код_Раздел,0)+1,2,,,"Раздел")))</f>
        <v>Охрана окружающей среды</v>
      </c>
      <c r="B519" s="115">
        <v>803</v>
      </c>
      <c r="C519" s="8" t="s">
        <v>225</v>
      </c>
      <c r="D519" s="8"/>
      <c r="E519" s="115"/>
      <c r="F519" s="115"/>
      <c r="G519" s="70">
        <f aca="true" t="shared" si="116" ref="G519:R523">G520</f>
        <v>200</v>
      </c>
      <c r="H519" s="70">
        <f t="shared" si="116"/>
        <v>0</v>
      </c>
      <c r="I519" s="70">
        <f t="shared" si="105"/>
        <v>200</v>
      </c>
      <c r="J519" s="70">
        <f t="shared" si="116"/>
        <v>0</v>
      </c>
      <c r="K519" s="87">
        <f t="shared" si="104"/>
        <v>200</v>
      </c>
      <c r="L519" s="13">
        <f t="shared" si="116"/>
        <v>0</v>
      </c>
      <c r="M519" s="87">
        <f t="shared" si="112"/>
        <v>200</v>
      </c>
      <c r="N519" s="13">
        <f t="shared" si="116"/>
        <v>-164.3</v>
      </c>
      <c r="O519" s="87">
        <f t="shared" si="113"/>
        <v>35.69999999999999</v>
      </c>
      <c r="P519" s="13">
        <f t="shared" si="116"/>
        <v>0</v>
      </c>
      <c r="Q519" s="87">
        <f t="shared" si="110"/>
        <v>35.69999999999999</v>
      </c>
      <c r="R519" s="13">
        <f t="shared" si="116"/>
        <v>0</v>
      </c>
      <c r="S519" s="87">
        <f t="shared" si="109"/>
        <v>35.69999999999999</v>
      </c>
    </row>
    <row r="520" spans="1:19" ht="12.75">
      <c r="A520" s="12" t="s">
        <v>263</v>
      </c>
      <c r="B520" s="115">
        <v>803</v>
      </c>
      <c r="C520" s="8" t="s">
        <v>225</v>
      </c>
      <c r="D520" s="8" t="s">
        <v>229</v>
      </c>
      <c r="E520" s="115"/>
      <c r="F520" s="115"/>
      <c r="G520" s="70">
        <f t="shared" si="116"/>
        <v>200</v>
      </c>
      <c r="H520" s="70">
        <f t="shared" si="116"/>
        <v>0</v>
      </c>
      <c r="I520" s="70">
        <f t="shared" si="105"/>
        <v>200</v>
      </c>
      <c r="J520" s="70">
        <f t="shared" si="116"/>
        <v>0</v>
      </c>
      <c r="K520" s="87">
        <f t="shared" si="104"/>
        <v>200</v>
      </c>
      <c r="L520" s="13">
        <f t="shared" si="116"/>
        <v>0</v>
      </c>
      <c r="M520" s="87">
        <f t="shared" si="112"/>
        <v>200</v>
      </c>
      <c r="N520" s="13">
        <f t="shared" si="116"/>
        <v>-164.3</v>
      </c>
      <c r="O520" s="87">
        <f t="shared" si="113"/>
        <v>35.69999999999999</v>
      </c>
      <c r="P520" s="13">
        <f t="shared" si="116"/>
        <v>0</v>
      </c>
      <c r="Q520" s="87">
        <f t="shared" si="110"/>
        <v>35.69999999999999</v>
      </c>
      <c r="R520" s="13">
        <f t="shared" si="116"/>
        <v>0</v>
      </c>
      <c r="S520" s="87">
        <f t="shared" si="109"/>
        <v>35.69999999999999</v>
      </c>
    </row>
    <row r="521" spans="1:19" ht="33">
      <c r="A521" s="62" t="str">
        <f ca="1">IF(ISERROR(MATCH(E521,Код_КЦСР,0)),"",INDIRECT(ADDRESS(MATCH(E521,Код_КЦСР,0)+1,2,,,"КЦСР")))</f>
        <v>Муниципальная программа «Охрана окружающей среды» на 2013-2022 годы</v>
      </c>
      <c r="B521" s="115">
        <v>803</v>
      </c>
      <c r="C521" s="8" t="s">
        <v>225</v>
      </c>
      <c r="D521" s="8" t="s">
        <v>229</v>
      </c>
      <c r="E521" s="115" t="s">
        <v>547</v>
      </c>
      <c r="F521" s="115"/>
      <c r="G521" s="70">
        <f t="shared" si="116"/>
        <v>200</v>
      </c>
      <c r="H521" s="70">
        <f t="shared" si="116"/>
        <v>0</v>
      </c>
      <c r="I521" s="70">
        <f t="shared" si="105"/>
        <v>200</v>
      </c>
      <c r="J521" s="70">
        <f t="shared" si="116"/>
        <v>0</v>
      </c>
      <c r="K521" s="87">
        <f t="shared" si="104"/>
        <v>200</v>
      </c>
      <c r="L521" s="13">
        <f t="shared" si="116"/>
        <v>0</v>
      </c>
      <c r="M521" s="87">
        <f t="shared" si="112"/>
        <v>200</v>
      </c>
      <c r="N521" s="13">
        <f t="shared" si="116"/>
        <v>-164.3</v>
      </c>
      <c r="O521" s="87">
        <f t="shared" si="113"/>
        <v>35.69999999999999</v>
      </c>
      <c r="P521" s="13">
        <f t="shared" si="116"/>
        <v>0</v>
      </c>
      <c r="Q521" s="87">
        <f t="shared" si="110"/>
        <v>35.69999999999999</v>
      </c>
      <c r="R521" s="13">
        <f t="shared" si="116"/>
        <v>0</v>
      </c>
      <c r="S521" s="87">
        <f t="shared" si="109"/>
        <v>35.69999999999999</v>
      </c>
    </row>
    <row r="522" spans="1:19" ht="130.5" customHeight="1">
      <c r="A522" s="62" t="str">
        <f ca="1">IF(ISERROR(MATCH(E522,Код_КЦСР,0)),"",INDIRECT(ADDRESS(MATCH(E522,Код_КЦСР,0)+1,2,,,"КЦСР")))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522" s="115">
        <v>803</v>
      </c>
      <c r="C522" s="8" t="s">
        <v>225</v>
      </c>
      <c r="D522" s="8" t="s">
        <v>229</v>
      </c>
      <c r="E522" s="115" t="s">
        <v>554</v>
      </c>
      <c r="F522" s="115"/>
      <c r="G522" s="70">
        <f t="shared" si="116"/>
        <v>200</v>
      </c>
      <c r="H522" s="70">
        <f t="shared" si="116"/>
        <v>0</v>
      </c>
      <c r="I522" s="70">
        <f t="shared" si="105"/>
        <v>200</v>
      </c>
      <c r="J522" s="70">
        <f t="shared" si="116"/>
        <v>0</v>
      </c>
      <c r="K522" s="87">
        <f t="shared" si="104"/>
        <v>200</v>
      </c>
      <c r="L522" s="13">
        <f t="shared" si="116"/>
        <v>0</v>
      </c>
      <c r="M522" s="87">
        <f t="shared" si="112"/>
        <v>200</v>
      </c>
      <c r="N522" s="13">
        <f t="shared" si="116"/>
        <v>-164.3</v>
      </c>
      <c r="O522" s="87">
        <f t="shared" si="113"/>
        <v>35.69999999999999</v>
      </c>
      <c r="P522" s="13">
        <f t="shared" si="116"/>
        <v>0</v>
      </c>
      <c r="Q522" s="87">
        <f t="shared" si="110"/>
        <v>35.69999999999999</v>
      </c>
      <c r="R522" s="13">
        <f t="shared" si="116"/>
        <v>0</v>
      </c>
      <c r="S522" s="87">
        <f t="shared" si="109"/>
        <v>35.69999999999999</v>
      </c>
    </row>
    <row r="523" spans="1:19" ht="12.75">
      <c r="A523" s="62" t="str">
        <f ca="1">IF(ISERROR(MATCH(F523,Код_КВР,0)),"",INDIRECT(ADDRESS(MATCH(F523,Код_КВР,0)+1,2,,,"КВР")))</f>
        <v>Иные бюджетные ассигнования</v>
      </c>
      <c r="B523" s="115">
        <v>803</v>
      </c>
      <c r="C523" s="8" t="s">
        <v>225</v>
      </c>
      <c r="D523" s="8" t="s">
        <v>229</v>
      </c>
      <c r="E523" s="115" t="s">
        <v>554</v>
      </c>
      <c r="F523" s="115">
        <v>800</v>
      </c>
      <c r="G523" s="70">
        <f t="shared" si="116"/>
        <v>200</v>
      </c>
      <c r="H523" s="70">
        <f t="shared" si="116"/>
        <v>0</v>
      </c>
      <c r="I523" s="70">
        <f t="shared" si="105"/>
        <v>200</v>
      </c>
      <c r="J523" s="70">
        <f t="shared" si="116"/>
        <v>0</v>
      </c>
      <c r="K523" s="87">
        <f t="shared" si="104"/>
        <v>200</v>
      </c>
      <c r="L523" s="13">
        <f t="shared" si="116"/>
        <v>0</v>
      </c>
      <c r="M523" s="87">
        <f t="shared" si="112"/>
        <v>200</v>
      </c>
      <c r="N523" s="13">
        <f t="shared" si="116"/>
        <v>-164.3</v>
      </c>
      <c r="O523" s="87">
        <f t="shared" si="113"/>
        <v>35.69999999999999</v>
      </c>
      <c r="P523" s="13">
        <f t="shared" si="116"/>
        <v>0</v>
      </c>
      <c r="Q523" s="87">
        <f t="shared" si="110"/>
        <v>35.69999999999999</v>
      </c>
      <c r="R523" s="13">
        <f t="shared" si="116"/>
        <v>0</v>
      </c>
      <c r="S523" s="87">
        <f t="shared" si="109"/>
        <v>35.69999999999999</v>
      </c>
    </row>
    <row r="524" spans="1:19" ht="33">
      <c r="A524" s="62" t="str">
        <f ca="1">IF(ISERROR(MATCH(F524,Код_КВР,0)),"",INDIRECT(ADDRESS(MATCH(F524,Код_КВР,0)+1,2,,,"КВР")))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24" s="115">
        <v>803</v>
      </c>
      <c r="C524" s="8" t="s">
        <v>225</v>
      </c>
      <c r="D524" s="8" t="s">
        <v>229</v>
      </c>
      <c r="E524" s="115" t="s">
        <v>554</v>
      </c>
      <c r="F524" s="115">
        <v>810</v>
      </c>
      <c r="G524" s="70">
        <v>200</v>
      </c>
      <c r="H524" s="65"/>
      <c r="I524" s="70">
        <f t="shared" si="105"/>
        <v>200</v>
      </c>
      <c r="J524" s="65"/>
      <c r="K524" s="87">
        <f t="shared" si="104"/>
        <v>200</v>
      </c>
      <c r="L524" s="87"/>
      <c r="M524" s="87">
        <f t="shared" si="112"/>
        <v>200</v>
      </c>
      <c r="N524" s="87">
        <v>-164.3</v>
      </c>
      <c r="O524" s="87">
        <f t="shared" si="113"/>
        <v>35.69999999999999</v>
      </c>
      <c r="P524" s="87"/>
      <c r="Q524" s="87">
        <f t="shared" si="110"/>
        <v>35.69999999999999</v>
      </c>
      <c r="R524" s="87"/>
      <c r="S524" s="87">
        <f t="shared" si="109"/>
        <v>35.69999999999999</v>
      </c>
    </row>
    <row r="525" spans="1:19" ht="12.75">
      <c r="A525" s="62" t="str">
        <f ca="1">IF(ISERROR(MATCH(C525,Код_Раздел,0)),"",INDIRECT(ADDRESS(MATCH(C525,Код_Раздел,0)+1,2,,,"Раздел")))</f>
        <v>Здравоохранение</v>
      </c>
      <c r="B525" s="115">
        <v>803</v>
      </c>
      <c r="C525" s="8" t="s">
        <v>227</v>
      </c>
      <c r="D525" s="8"/>
      <c r="E525" s="115"/>
      <c r="F525" s="115"/>
      <c r="G525" s="70">
        <f aca="true" t="shared" si="117" ref="G525:R531">G526</f>
        <v>1957.5</v>
      </c>
      <c r="H525" s="70">
        <f t="shared" si="117"/>
        <v>0</v>
      </c>
      <c r="I525" s="70">
        <f t="shared" si="105"/>
        <v>1957.5</v>
      </c>
      <c r="J525" s="70">
        <f t="shared" si="117"/>
        <v>0</v>
      </c>
      <c r="K525" s="87">
        <f t="shared" si="104"/>
        <v>1957.5</v>
      </c>
      <c r="L525" s="13">
        <f t="shared" si="117"/>
        <v>0</v>
      </c>
      <c r="M525" s="87">
        <f t="shared" si="112"/>
        <v>1957.5</v>
      </c>
      <c r="N525" s="13">
        <f t="shared" si="117"/>
        <v>0</v>
      </c>
      <c r="O525" s="87">
        <f t="shared" si="113"/>
        <v>1957.5</v>
      </c>
      <c r="P525" s="13">
        <f t="shared" si="117"/>
        <v>0</v>
      </c>
      <c r="Q525" s="87">
        <f t="shared" si="110"/>
        <v>1957.5</v>
      </c>
      <c r="R525" s="13">
        <f t="shared" si="117"/>
        <v>0</v>
      </c>
      <c r="S525" s="87">
        <f t="shared" si="109"/>
        <v>1957.5</v>
      </c>
    </row>
    <row r="526" spans="1:19" ht="12.75">
      <c r="A526" s="79" t="s">
        <v>273</v>
      </c>
      <c r="B526" s="115">
        <v>803</v>
      </c>
      <c r="C526" s="8" t="s">
        <v>227</v>
      </c>
      <c r="D526" s="8" t="s">
        <v>203</v>
      </c>
      <c r="E526" s="115"/>
      <c r="F526" s="115"/>
      <c r="G526" s="70">
        <f t="shared" si="117"/>
        <v>1957.5</v>
      </c>
      <c r="H526" s="70">
        <f t="shared" si="117"/>
        <v>0</v>
      </c>
      <c r="I526" s="70">
        <f t="shared" si="105"/>
        <v>1957.5</v>
      </c>
      <c r="J526" s="70">
        <f t="shared" si="117"/>
        <v>0</v>
      </c>
      <c r="K526" s="87">
        <f t="shared" si="104"/>
        <v>1957.5</v>
      </c>
      <c r="L526" s="13">
        <f t="shared" si="117"/>
        <v>0</v>
      </c>
      <c r="M526" s="87">
        <f t="shared" si="112"/>
        <v>1957.5</v>
      </c>
      <c r="N526" s="13">
        <f t="shared" si="117"/>
        <v>0</v>
      </c>
      <c r="O526" s="87">
        <f t="shared" si="113"/>
        <v>1957.5</v>
      </c>
      <c r="P526" s="13">
        <f t="shared" si="117"/>
        <v>0</v>
      </c>
      <c r="Q526" s="87">
        <f t="shared" si="110"/>
        <v>1957.5</v>
      </c>
      <c r="R526" s="13">
        <f t="shared" si="117"/>
        <v>0</v>
      </c>
      <c r="S526" s="87">
        <f t="shared" si="109"/>
        <v>1957.5</v>
      </c>
    </row>
    <row r="527" spans="1:19" ht="33">
      <c r="A527" s="62" t="str">
        <f ca="1">IF(ISERROR(MATCH(E527,Код_КЦСР,0)),"",INDIRECT(ADDRESS(MATCH(E527,Код_КЦСР,0)+1,2,,,"КЦСР")))</f>
        <v>Муниципальная программа «Развитие жилищно-коммунального хозяйства города Череповца» на 2014-2018 годы</v>
      </c>
      <c r="B527" s="115">
        <v>803</v>
      </c>
      <c r="C527" s="8" t="s">
        <v>227</v>
      </c>
      <c r="D527" s="8" t="s">
        <v>203</v>
      </c>
      <c r="E527" s="115" t="s">
        <v>47</v>
      </c>
      <c r="F527" s="115"/>
      <c r="G527" s="70">
        <f t="shared" si="117"/>
        <v>1957.5</v>
      </c>
      <c r="H527" s="70">
        <f t="shared" si="117"/>
        <v>0</v>
      </c>
      <c r="I527" s="70">
        <f t="shared" si="105"/>
        <v>1957.5</v>
      </c>
      <c r="J527" s="70">
        <f t="shared" si="117"/>
        <v>0</v>
      </c>
      <c r="K527" s="87">
        <f t="shared" si="104"/>
        <v>1957.5</v>
      </c>
      <c r="L527" s="13">
        <f t="shared" si="117"/>
        <v>0</v>
      </c>
      <c r="M527" s="87">
        <f t="shared" si="112"/>
        <v>1957.5</v>
      </c>
      <c r="N527" s="13">
        <f t="shared" si="117"/>
        <v>0</v>
      </c>
      <c r="O527" s="87">
        <f t="shared" si="113"/>
        <v>1957.5</v>
      </c>
      <c r="P527" s="13">
        <f t="shared" si="117"/>
        <v>0</v>
      </c>
      <c r="Q527" s="87">
        <f t="shared" si="110"/>
        <v>1957.5</v>
      </c>
      <c r="R527" s="13">
        <f t="shared" si="117"/>
        <v>0</v>
      </c>
      <c r="S527" s="87">
        <f t="shared" si="109"/>
        <v>1957.5</v>
      </c>
    </row>
    <row r="528" spans="1:19" ht="12.75">
      <c r="A528" s="62" t="str">
        <f ca="1">IF(ISERROR(MATCH(E528,Код_КЦСР,0)),"",INDIRECT(ADDRESS(MATCH(E528,Код_КЦСР,0)+1,2,,,"КЦСР")))</f>
        <v>Развитие благоустройства города</v>
      </c>
      <c r="B528" s="115">
        <v>803</v>
      </c>
      <c r="C528" s="8" t="s">
        <v>227</v>
      </c>
      <c r="D528" s="8" t="s">
        <v>203</v>
      </c>
      <c r="E528" s="115" t="s">
        <v>48</v>
      </c>
      <c r="F528" s="115"/>
      <c r="G528" s="70">
        <f t="shared" si="117"/>
        <v>1957.5</v>
      </c>
      <c r="H528" s="70">
        <f t="shared" si="117"/>
        <v>0</v>
      </c>
      <c r="I528" s="70">
        <f t="shared" si="105"/>
        <v>1957.5</v>
      </c>
      <c r="J528" s="70">
        <f t="shared" si="117"/>
        <v>0</v>
      </c>
      <c r="K528" s="87">
        <f t="shared" si="104"/>
        <v>1957.5</v>
      </c>
      <c r="L528" s="13">
        <f t="shared" si="117"/>
        <v>0</v>
      </c>
      <c r="M528" s="87">
        <f t="shared" si="112"/>
        <v>1957.5</v>
      </c>
      <c r="N528" s="13">
        <f t="shared" si="117"/>
        <v>0</v>
      </c>
      <c r="O528" s="87">
        <f t="shared" si="113"/>
        <v>1957.5</v>
      </c>
      <c r="P528" s="13">
        <f t="shared" si="117"/>
        <v>0</v>
      </c>
      <c r="Q528" s="87">
        <f t="shared" si="110"/>
        <v>1957.5</v>
      </c>
      <c r="R528" s="13">
        <f t="shared" si="117"/>
        <v>0</v>
      </c>
      <c r="S528" s="87">
        <f t="shared" si="109"/>
        <v>1957.5</v>
      </c>
    </row>
    <row r="529" spans="1:19" ht="99">
      <c r="A529" s="62" t="str">
        <f ca="1">IF(ISERROR(MATCH(E529,Код_КЦСР,0)),"",INDIRECT(ADDRESS(MATCH(E529,Код_КЦСР,0)+1,2,,,"КЦСР")))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529" s="115">
        <v>803</v>
      </c>
      <c r="C529" s="8" t="s">
        <v>227</v>
      </c>
      <c r="D529" s="8" t="s">
        <v>203</v>
      </c>
      <c r="E529" s="115" t="s">
        <v>424</v>
      </c>
      <c r="F529" s="115"/>
      <c r="G529" s="70">
        <f t="shared" si="117"/>
        <v>1957.5</v>
      </c>
      <c r="H529" s="70">
        <f t="shared" si="117"/>
        <v>0</v>
      </c>
      <c r="I529" s="70">
        <f t="shared" si="105"/>
        <v>1957.5</v>
      </c>
      <c r="J529" s="70">
        <f t="shared" si="117"/>
        <v>0</v>
      </c>
      <c r="K529" s="87">
        <f t="shared" si="104"/>
        <v>1957.5</v>
      </c>
      <c r="L529" s="13">
        <f t="shared" si="117"/>
        <v>0</v>
      </c>
      <c r="M529" s="87">
        <f t="shared" si="112"/>
        <v>1957.5</v>
      </c>
      <c r="N529" s="13">
        <f t="shared" si="117"/>
        <v>0</v>
      </c>
      <c r="O529" s="87">
        <f t="shared" si="113"/>
        <v>1957.5</v>
      </c>
      <c r="P529" s="13">
        <f t="shared" si="117"/>
        <v>0</v>
      </c>
      <c r="Q529" s="87">
        <f t="shared" si="110"/>
        <v>1957.5</v>
      </c>
      <c r="R529" s="13">
        <f t="shared" si="117"/>
        <v>0</v>
      </c>
      <c r="S529" s="87">
        <f t="shared" si="109"/>
        <v>1957.5</v>
      </c>
    </row>
    <row r="530" spans="1:19" ht="12.75">
      <c r="A530" s="62" t="str">
        <f ca="1">IF(ISERROR(MATCH(F530,Код_КВР,0)),"",INDIRECT(ADDRESS(MATCH(F530,Код_КВР,0)+1,2,,,"КВР")))</f>
        <v>Закупка товаров, работ и услуг для муниципальных нужд</v>
      </c>
      <c r="B530" s="115">
        <v>803</v>
      </c>
      <c r="C530" s="8" t="s">
        <v>227</v>
      </c>
      <c r="D530" s="8" t="s">
        <v>203</v>
      </c>
      <c r="E530" s="115" t="s">
        <v>424</v>
      </c>
      <c r="F530" s="115">
        <v>200</v>
      </c>
      <c r="G530" s="70">
        <f t="shared" si="117"/>
        <v>1957.5</v>
      </c>
      <c r="H530" s="70">
        <f t="shared" si="117"/>
        <v>0</v>
      </c>
      <c r="I530" s="70">
        <f t="shared" si="105"/>
        <v>1957.5</v>
      </c>
      <c r="J530" s="70">
        <f t="shared" si="117"/>
        <v>0</v>
      </c>
      <c r="K530" s="87">
        <f t="shared" si="104"/>
        <v>1957.5</v>
      </c>
      <c r="L530" s="13">
        <f t="shared" si="117"/>
        <v>0</v>
      </c>
      <c r="M530" s="87">
        <f t="shared" si="112"/>
        <v>1957.5</v>
      </c>
      <c r="N530" s="13">
        <f t="shared" si="117"/>
        <v>0</v>
      </c>
      <c r="O530" s="87">
        <f t="shared" si="113"/>
        <v>1957.5</v>
      </c>
      <c r="P530" s="13">
        <f t="shared" si="117"/>
        <v>0</v>
      </c>
      <c r="Q530" s="87">
        <f t="shared" si="110"/>
        <v>1957.5</v>
      </c>
      <c r="R530" s="13">
        <f t="shared" si="117"/>
        <v>0</v>
      </c>
      <c r="S530" s="87">
        <f t="shared" si="109"/>
        <v>1957.5</v>
      </c>
    </row>
    <row r="531" spans="1:19" ht="33">
      <c r="A531" s="62" t="str">
        <f ca="1">IF(ISERROR(MATCH(F531,Код_КВР,0)),"",INDIRECT(ADDRESS(MATCH(F531,Код_КВР,0)+1,2,,,"КВР")))</f>
        <v>Иные закупки товаров, работ и услуг для обеспечения муниципальных нужд</v>
      </c>
      <c r="B531" s="115">
        <v>803</v>
      </c>
      <c r="C531" s="8" t="s">
        <v>227</v>
      </c>
      <c r="D531" s="8" t="s">
        <v>203</v>
      </c>
      <c r="E531" s="115" t="s">
        <v>424</v>
      </c>
      <c r="F531" s="115">
        <v>240</v>
      </c>
      <c r="G531" s="70">
        <f t="shared" si="117"/>
        <v>1957.5</v>
      </c>
      <c r="H531" s="70">
        <f t="shared" si="117"/>
        <v>0</v>
      </c>
      <c r="I531" s="70">
        <f t="shared" si="105"/>
        <v>1957.5</v>
      </c>
      <c r="J531" s="70">
        <f t="shared" si="117"/>
        <v>0</v>
      </c>
      <c r="K531" s="87">
        <f t="shared" si="104"/>
        <v>1957.5</v>
      </c>
      <c r="L531" s="13">
        <f t="shared" si="117"/>
        <v>0</v>
      </c>
      <c r="M531" s="87">
        <f t="shared" si="112"/>
        <v>1957.5</v>
      </c>
      <c r="N531" s="13">
        <f t="shared" si="117"/>
        <v>0</v>
      </c>
      <c r="O531" s="87">
        <f t="shared" si="113"/>
        <v>1957.5</v>
      </c>
      <c r="P531" s="13">
        <f t="shared" si="117"/>
        <v>0</v>
      </c>
      <c r="Q531" s="87">
        <f t="shared" si="110"/>
        <v>1957.5</v>
      </c>
      <c r="R531" s="13">
        <f t="shared" si="117"/>
        <v>0</v>
      </c>
      <c r="S531" s="87">
        <f t="shared" si="109"/>
        <v>1957.5</v>
      </c>
    </row>
    <row r="532" spans="1:19" ht="33">
      <c r="A532" s="62" t="str">
        <f ca="1">IF(ISERROR(MATCH(F532,Код_КВР,0)),"",INDIRECT(ADDRESS(MATCH(F532,Код_КВР,0)+1,2,,,"КВР")))</f>
        <v xml:space="preserve">Прочая закупка товаров, работ и услуг для обеспечения муниципальных нужд         </v>
      </c>
      <c r="B532" s="115">
        <v>803</v>
      </c>
      <c r="C532" s="8" t="s">
        <v>227</v>
      </c>
      <c r="D532" s="8" t="s">
        <v>203</v>
      </c>
      <c r="E532" s="115" t="s">
        <v>424</v>
      </c>
      <c r="F532" s="115">
        <v>244</v>
      </c>
      <c r="G532" s="70">
        <v>1957.5</v>
      </c>
      <c r="H532" s="65"/>
      <c r="I532" s="70">
        <f t="shared" si="105"/>
        <v>1957.5</v>
      </c>
      <c r="J532" s="65"/>
      <c r="K532" s="87">
        <f aca="true" t="shared" si="118" ref="K532:K622">I532+J532</f>
        <v>1957.5</v>
      </c>
      <c r="L532" s="87"/>
      <c r="M532" s="87">
        <f t="shared" si="112"/>
        <v>1957.5</v>
      </c>
      <c r="N532" s="87"/>
      <c r="O532" s="87">
        <f t="shared" si="113"/>
        <v>1957.5</v>
      </c>
      <c r="P532" s="87"/>
      <c r="Q532" s="87">
        <f t="shared" si="110"/>
        <v>1957.5</v>
      </c>
      <c r="R532" s="87"/>
      <c r="S532" s="87">
        <f t="shared" si="109"/>
        <v>1957.5</v>
      </c>
    </row>
    <row r="533" spans="1:19" ht="12.75">
      <c r="A533" s="62" t="str">
        <f ca="1">IF(ISERROR(MATCH(C533,Код_Раздел,0)),"",INDIRECT(ADDRESS(MATCH(C533,Код_Раздел,0)+1,2,,,"Раздел")))</f>
        <v>Социальная политика</v>
      </c>
      <c r="B533" s="115">
        <v>803</v>
      </c>
      <c r="C533" s="8" t="s">
        <v>196</v>
      </c>
      <c r="D533" s="8"/>
      <c r="E533" s="115"/>
      <c r="F533" s="115"/>
      <c r="G533" s="70">
        <f aca="true" t="shared" si="119" ref="G533:R538">G534</f>
        <v>71</v>
      </c>
      <c r="H533" s="70">
        <f t="shared" si="119"/>
        <v>0</v>
      </c>
      <c r="I533" s="70">
        <f t="shared" si="105"/>
        <v>71</v>
      </c>
      <c r="J533" s="70">
        <f t="shared" si="119"/>
        <v>0</v>
      </c>
      <c r="K533" s="87">
        <f t="shared" si="118"/>
        <v>71</v>
      </c>
      <c r="L533" s="13">
        <f t="shared" si="119"/>
        <v>0</v>
      </c>
      <c r="M533" s="87">
        <f t="shared" si="112"/>
        <v>71</v>
      </c>
      <c r="N533" s="13">
        <f t="shared" si="119"/>
        <v>0</v>
      </c>
      <c r="O533" s="87">
        <f t="shared" si="113"/>
        <v>71</v>
      </c>
      <c r="P533" s="13">
        <f t="shared" si="119"/>
        <v>0</v>
      </c>
      <c r="Q533" s="87">
        <f t="shared" si="110"/>
        <v>71</v>
      </c>
      <c r="R533" s="13">
        <f t="shared" si="119"/>
        <v>0</v>
      </c>
      <c r="S533" s="87">
        <f t="shared" si="109"/>
        <v>71</v>
      </c>
    </row>
    <row r="534" spans="1:19" ht="12.75">
      <c r="A534" s="12" t="s">
        <v>187</v>
      </c>
      <c r="B534" s="115">
        <v>803</v>
      </c>
      <c r="C534" s="8" t="s">
        <v>196</v>
      </c>
      <c r="D534" s="8" t="s">
        <v>223</v>
      </c>
      <c r="E534" s="115"/>
      <c r="F534" s="115"/>
      <c r="G534" s="70">
        <f t="shared" si="119"/>
        <v>71</v>
      </c>
      <c r="H534" s="70">
        <f t="shared" si="119"/>
        <v>0</v>
      </c>
      <c r="I534" s="70">
        <f t="shared" si="105"/>
        <v>71</v>
      </c>
      <c r="J534" s="70">
        <f t="shared" si="119"/>
        <v>0</v>
      </c>
      <c r="K534" s="87">
        <f t="shared" si="118"/>
        <v>71</v>
      </c>
      <c r="L534" s="13">
        <f t="shared" si="119"/>
        <v>0</v>
      </c>
      <c r="M534" s="87">
        <f t="shared" si="112"/>
        <v>71</v>
      </c>
      <c r="N534" s="13">
        <f t="shared" si="119"/>
        <v>0</v>
      </c>
      <c r="O534" s="87">
        <f t="shared" si="113"/>
        <v>71</v>
      </c>
      <c r="P534" s="13">
        <f t="shared" si="119"/>
        <v>0</v>
      </c>
      <c r="Q534" s="87">
        <f t="shared" si="110"/>
        <v>71</v>
      </c>
      <c r="R534" s="13">
        <f t="shared" si="119"/>
        <v>0</v>
      </c>
      <c r="S534" s="87">
        <f t="shared" si="109"/>
        <v>71</v>
      </c>
    </row>
    <row r="535" spans="1:19" ht="33">
      <c r="A535" s="62" t="str">
        <f ca="1">IF(ISERROR(MATCH(E535,Код_КЦСР,0)),"",INDIRECT(ADDRESS(MATCH(E535,Код_КЦСР,0)+1,2,,,"КЦСР")))</f>
        <v>Муниципальная программа «Социальная поддержка граждан» на 2014-2018 годы</v>
      </c>
      <c r="B535" s="115">
        <v>803</v>
      </c>
      <c r="C535" s="8" t="s">
        <v>196</v>
      </c>
      <c r="D535" s="8" t="s">
        <v>223</v>
      </c>
      <c r="E535" s="115" t="s">
        <v>6</v>
      </c>
      <c r="F535" s="115"/>
      <c r="G535" s="70">
        <f t="shared" si="119"/>
        <v>71</v>
      </c>
      <c r="H535" s="70">
        <f t="shared" si="119"/>
        <v>0</v>
      </c>
      <c r="I535" s="70">
        <f t="shared" si="105"/>
        <v>71</v>
      </c>
      <c r="J535" s="70">
        <f t="shared" si="119"/>
        <v>0</v>
      </c>
      <c r="K535" s="87">
        <f t="shared" si="118"/>
        <v>71</v>
      </c>
      <c r="L535" s="13">
        <f t="shared" si="119"/>
        <v>0</v>
      </c>
      <c r="M535" s="87">
        <f t="shared" si="112"/>
        <v>71</v>
      </c>
      <c r="N535" s="13">
        <f t="shared" si="119"/>
        <v>0</v>
      </c>
      <c r="O535" s="87">
        <f t="shared" si="113"/>
        <v>71</v>
      </c>
      <c r="P535" s="13">
        <f t="shared" si="119"/>
        <v>0</v>
      </c>
      <c r="Q535" s="87">
        <f t="shared" si="110"/>
        <v>71</v>
      </c>
      <c r="R535" s="13">
        <f t="shared" si="119"/>
        <v>0</v>
      </c>
      <c r="S535" s="87">
        <f t="shared" si="109"/>
        <v>71</v>
      </c>
    </row>
    <row r="536" spans="1:19" ht="12.75">
      <c r="A536" s="62" t="str">
        <f ca="1">IF(ISERROR(MATCH(E536,Код_КЦСР,0)),"",INDIRECT(ADDRESS(MATCH(E536,Код_КЦСР,0)+1,2,,,"КЦСР")))</f>
        <v>Оплата услуг бани по льготным помывкам</v>
      </c>
      <c r="B536" s="115">
        <v>803</v>
      </c>
      <c r="C536" s="8" t="s">
        <v>196</v>
      </c>
      <c r="D536" s="8" t="s">
        <v>223</v>
      </c>
      <c r="E536" s="115" t="s">
        <v>22</v>
      </c>
      <c r="F536" s="115"/>
      <c r="G536" s="70">
        <f t="shared" si="119"/>
        <v>71</v>
      </c>
      <c r="H536" s="70">
        <f t="shared" si="119"/>
        <v>0</v>
      </c>
      <c r="I536" s="70">
        <f t="shared" si="105"/>
        <v>71</v>
      </c>
      <c r="J536" s="70">
        <f t="shared" si="119"/>
        <v>0</v>
      </c>
      <c r="K536" s="87">
        <f t="shared" si="118"/>
        <v>71</v>
      </c>
      <c r="L536" s="13">
        <f t="shared" si="119"/>
        <v>0</v>
      </c>
      <c r="M536" s="87">
        <f t="shared" si="112"/>
        <v>71</v>
      </c>
      <c r="N536" s="13">
        <f t="shared" si="119"/>
        <v>0</v>
      </c>
      <c r="O536" s="87">
        <f t="shared" si="113"/>
        <v>71</v>
      </c>
      <c r="P536" s="13">
        <f t="shared" si="119"/>
        <v>0</v>
      </c>
      <c r="Q536" s="87">
        <f t="shared" si="110"/>
        <v>71</v>
      </c>
      <c r="R536" s="13">
        <f t="shared" si="119"/>
        <v>0</v>
      </c>
      <c r="S536" s="87">
        <f t="shared" si="109"/>
        <v>71</v>
      </c>
    </row>
    <row r="537" spans="1:19" ht="12.75">
      <c r="A537" s="62" t="str">
        <f ca="1">IF(ISERROR(MATCH(F537,Код_КВР,0)),"",INDIRECT(ADDRESS(MATCH(F537,Код_КВР,0)+1,2,,,"КВР")))</f>
        <v>Социальное обеспечение и иные выплаты населению</v>
      </c>
      <c r="B537" s="115">
        <v>803</v>
      </c>
      <c r="C537" s="8" t="s">
        <v>196</v>
      </c>
      <c r="D537" s="8" t="s">
        <v>223</v>
      </c>
      <c r="E537" s="115" t="s">
        <v>22</v>
      </c>
      <c r="F537" s="115">
        <v>300</v>
      </c>
      <c r="G537" s="70">
        <f t="shared" si="119"/>
        <v>71</v>
      </c>
      <c r="H537" s="70">
        <f t="shared" si="119"/>
        <v>0</v>
      </c>
      <c r="I537" s="70">
        <f t="shared" si="105"/>
        <v>71</v>
      </c>
      <c r="J537" s="70">
        <f t="shared" si="119"/>
        <v>0</v>
      </c>
      <c r="K537" s="87">
        <f t="shared" si="118"/>
        <v>71</v>
      </c>
      <c r="L537" s="13">
        <f t="shared" si="119"/>
        <v>0</v>
      </c>
      <c r="M537" s="87">
        <f t="shared" si="112"/>
        <v>71</v>
      </c>
      <c r="N537" s="13">
        <f t="shared" si="119"/>
        <v>0</v>
      </c>
      <c r="O537" s="87">
        <f t="shared" si="113"/>
        <v>71</v>
      </c>
      <c r="P537" s="13">
        <f t="shared" si="119"/>
        <v>0</v>
      </c>
      <c r="Q537" s="87">
        <f t="shared" si="110"/>
        <v>71</v>
      </c>
      <c r="R537" s="13">
        <f t="shared" si="119"/>
        <v>0</v>
      </c>
      <c r="S537" s="87">
        <f t="shared" si="109"/>
        <v>71</v>
      </c>
    </row>
    <row r="538" spans="1:19" ht="33">
      <c r="A538" s="62" t="str">
        <f ca="1">IF(ISERROR(MATCH(F538,Код_КВР,0)),"",INDIRECT(ADDRESS(MATCH(F538,Код_КВР,0)+1,2,,,"КВР")))</f>
        <v>Социальные выплаты гражданам, кроме публичных нормативных социальных выплат</v>
      </c>
      <c r="B538" s="115">
        <v>803</v>
      </c>
      <c r="C538" s="8" t="s">
        <v>196</v>
      </c>
      <c r="D538" s="8" t="s">
        <v>223</v>
      </c>
      <c r="E538" s="115" t="s">
        <v>22</v>
      </c>
      <c r="F538" s="115">
        <v>320</v>
      </c>
      <c r="G538" s="70">
        <f t="shared" si="119"/>
        <v>71</v>
      </c>
      <c r="H538" s="70">
        <f t="shared" si="119"/>
        <v>0</v>
      </c>
      <c r="I538" s="70">
        <f aca="true" t="shared" si="120" ref="I538:I628">G538+H538</f>
        <v>71</v>
      </c>
      <c r="J538" s="70">
        <f t="shared" si="119"/>
        <v>0</v>
      </c>
      <c r="K538" s="87">
        <f t="shared" si="118"/>
        <v>71</v>
      </c>
      <c r="L538" s="13">
        <f t="shared" si="119"/>
        <v>0</v>
      </c>
      <c r="M538" s="87">
        <f t="shared" si="112"/>
        <v>71</v>
      </c>
      <c r="N538" s="13">
        <f t="shared" si="119"/>
        <v>0</v>
      </c>
      <c r="O538" s="87">
        <f t="shared" si="113"/>
        <v>71</v>
      </c>
      <c r="P538" s="13">
        <f t="shared" si="119"/>
        <v>0</v>
      </c>
      <c r="Q538" s="87">
        <f t="shared" si="110"/>
        <v>71</v>
      </c>
      <c r="R538" s="13">
        <f t="shared" si="119"/>
        <v>0</v>
      </c>
      <c r="S538" s="87">
        <f t="shared" si="109"/>
        <v>71</v>
      </c>
    </row>
    <row r="539" spans="1:19" ht="33">
      <c r="A539" s="62" t="str">
        <f ca="1">IF(ISERROR(MATCH(F539,Код_КВР,0)),"",INDIRECT(ADDRESS(MATCH(F539,Код_КВР,0)+1,2,,,"КВР")))</f>
        <v>Приобретение товаров, работ, услуг в пользу граждан в целях их социального обеспечения</v>
      </c>
      <c r="B539" s="115">
        <v>803</v>
      </c>
      <c r="C539" s="8" t="s">
        <v>196</v>
      </c>
      <c r="D539" s="8" t="s">
        <v>223</v>
      </c>
      <c r="E539" s="115" t="s">
        <v>22</v>
      </c>
      <c r="F539" s="115">
        <v>323</v>
      </c>
      <c r="G539" s="70">
        <v>71</v>
      </c>
      <c r="H539" s="65"/>
      <c r="I539" s="70">
        <f t="shared" si="120"/>
        <v>71</v>
      </c>
      <c r="J539" s="65"/>
      <c r="K539" s="87">
        <f t="shared" si="118"/>
        <v>71</v>
      </c>
      <c r="L539" s="87"/>
      <c r="M539" s="87">
        <f t="shared" si="112"/>
        <v>71</v>
      </c>
      <c r="N539" s="87"/>
      <c r="O539" s="87">
        <f t="shared" si="113"/>
        <v>71</v>
      </c>
      <c r="P539" s="87"/>
      <c r="Q539" s="87">
        <f t="shared" si="110"/>
        <v>71</v>
      </c>
      <c r="R539" s="87"/>
      <c r="S539" s="87">
        <f t="shared" si="109"/>
        <v>71</v>
      </c>
    </row>
    <row r="540" spans="1:19" ht="33">
      <c r="A540" s="62" t="str">
        <f ca="1">IF(ISERROR(MATCH(B540,Код_ППП,0)),"",INDIRECT(ADDRESS(MATCH(B540,Код_ППП,0)+1,2,,,"ППП")))</f>
        <v>УПРАВЛЕНИЕ АРХИТЕКТУРЫ И ГРАДОСТРОИТЕЛЬСТВА МЭРИИ ГОРОДА</v>
      </c>
      <c r="B540" s="115">
        <v>804</v>
      </c>
      <c r="C540" s="8"/>
      <c r="D540" s="8"/>
      <c r="E540" s="115"/>
      <c r="F540" s="115"/>
      <c r="G540" s="70">
        <f>G541</f>
        <v>39887.8</v>
      </c>
      <c r="H540" s="70">
        <f>H541</f>
        <v>0</v>
      </c>
      <c r="I540" s="70">
        <f t="shared" si="120"/>
        <v>39887.8</v>
      </c>
      <c r="J540" s="70">
        <f>J541</f>
        <v>0</v>
      </c>
      <c r="K540" s="87">
        <f t="shared" si="118"/>
        <v>39887.8</v>
      </c>
      <c r="L540" s="13">
        <f>L541</f>
        <v>-4085.5</v>
      </c>
      <c r="M540" s="87">
        <f t="shared" si="112"/>
        <v>35802.3</v>
      </c>
      <c r="N540" s="13">
        <f>N541</f>
        <v>0</v>
      </c>
      <c r="O540" s="87">
        <f t="shared" si="113"/>
        <v>35802.3</v>
      </c>
      <c r="P540" s="13">
        <f>P541</f>
        <v>0</v>
      </c>
      <c r="Q540" s="87">
        <f t="shared" si="110"/>
        <v>35802.3</v>
      </c>
      <c r="R540" s="13">
        <f>R541</f>
        <v>-537.5</v>
      </c>
      <c r="S540" s="87">
        <f t="shared" si="109"/>
        <v>35264.8</v>
      </c>
    </row>
    <row r="541" spans="1:19" ht="12.75">
      <c r="A541" s="62" t="str">
        <f ca="1">IF(ISERROR(MATCH(C541,Код_Раздел,0)),"",INDIRECT(ADDRESS(MATCH(C541,Код_Раздел,0)+1,2,,,"Раздел")))</f>
        <v>Национальная экономика</v>
      </c>
      <c r="B541" s="115">
        <v>804</v>
      </c>
      <c r="C541" s="8" t="s">
        <v>224</v>
      </c>
      <c r="D541" s="8"/>
      <c r="E541" s="115"/>
      <c r="F541" s="115"/>
      <c r="G541" s="70">
        <f>G542</f>
        <v>39887.8</v>
      </c>
      <c r="H541" s="70">
        <f>H542</f>
        <v>0</v>
      </c>
      <c r="I541" s="70">
        <f t="shared" si="120"/>
        <v>39887.8</v>
      </c>
      <c r="J541" s="70">
        <f>J542</f>
        <v>0</v>
      </c>
      <c r="K541" s="87">
        <f t="shared" si="118"/>
        <v>39887.8</v>
      </c>
      <c r="L541" s="13">
        <f>L542</f>
        <v>-4085.5</v>
      </c>
      <c r="M541" s="87">
        <f t="shared" si="112"/>
        <v>35802.3</v>
      </c>
      <c r="N541" s="13">
        <f>N542</f>
        <v>0</v>
      </c>
      <c r="O541" s="87">
        <f t="shared" si="113"/>
        <v>35802.3</v>
      </c>
      <c r="P541" s="13">
        <f>P542</f>
        <v>0</v>
      </c>
      <c r="Q541" s="87">
        <f t="shared" si="110"/>
        <v>35802.3</v>
      </c>
      <c r="R541" s="13">
        <f>R542</f>
        <v>-537.5</v>
      </c>
      <c r="S541" s="87">
        <f t="shared" si="109"/>
        <v>35264.8</v>
      </c>
    </row>
    <row r="542" spans="1:19" ht="12.75">
      <c r="A542" s="12" t="s">
        <v>231</v>
      </c>
      <c r="B542" s="115">
        <v>804</v>
      </c>
      <c r="C542" s="8" t="s">
        <v>224</v>
      </c>
      <c r="D542" s="8" t="s">
        <v>204</v>
      </c>
      <c r="E542" s="115"/>
      <c r="F542" s="115"/>
      <c r="G542" s="70">
        <f>G543+G552</f>
        <v>39887.8</v>
      </c>
      <c r="H542" s="70">
        <f>H543+H552</f>
        <v>0</v>
      </c>
      <c r="I542" s="70">
        <f t="shared" si="120"/>
        <v>39887.8</v>
      </c>
      <c r="J542" s="70">
        <f>J543+J552</f>
        <v>0</v>
      </c>
      <c r="K542" s="87">
        <f t="shared" si="118"/>
        <v>39887.8</v>
      </c>
      <c r="L542" s="13">
        <f>L543+L552</f>
        <v>-4085.5</v>
      </c>
      <c r="M542" s="87">
        <f t="shared" si="112"/>
        <v>35802.3</v>
      </c>
      <c r="N542" s="13">
        <f>N543+N552</f>
        <v>0</v>
      </c>
      <c r="O542" s="87">
        <f t="shared" si="113"/>
        <v>35802.3</v>
      </c>
      <c r="P542" s="13">
        <f>P543+P552</f>
        <v>0</v>
      </c>
      <c r="Q542" s="87">
        <f t="shared" si="110"/>
        <v>35802.3</v>
      </c>
      <c r="R542" s="13">
        <f>R543+R552</f>
        <v>-537.5</v>
      </c>
      <c r="S542" s="87">
        <f t="shared" si="109"/>
        <v>35264.8</v>
      </c>
    </row>
    <row r="543" spans="1:19" ht="33">
      <c r="A543" s="62" t="str">
        <f ca="1">IF(ISERROR(MATCH(E543,Код_КЦСР,0)),"",INDIRECT(ADDRESS(MATCH(E543,Код_КЦСР,0)+1,2,,,"КЦСР")))</f>
        <v>Муниципальная программа «Реализация градостроительной политики города Череповца» на 2014-2022 годы</v>
      </c>
      <c r="B543" s="115">
        <v>804</v>
      </c>
      <c r="C543" s="8" t="s">
        <v>224</v>
      </c>
      <c r="D543" s="8" t="s">
        <v>204</v>
      </c>
      <c r="E543" s="115" t="s">
        <v>43</v>
      </c>
      <c r="F543" s="115"/>
      <c r="G543" s="70">
        <f>G544+G548</f>
        <v>8645.8</v>
      </c>
      <c r="H543" s="70">
        <f>H544+H548</f>
        <v>0</v>
      </c>
      <c r="I543" s="70">
        <f t="shared" si="120"/>
        <v>8645.8</v>
      </c>
      <c r="J543" s="70">
        <f>J544+J548</f>
        <v>0</v>
      </c>
      <c r="K543" s="87">
        <f t="shared" si="118"/>
        <v>8645.8</v>
      </c>
      <c r="L543" s="13">
        <f>L544+L548</f>
        <v>-4085.5</v>
      </c>
      <c r="M543" s="87">
        <f t="shared" si="112"/>
        <v>4560.299999999999</v>
      </c>
      <c r="N543" s="13">
        <f>N544+N548</f>
        <v>0</v>
      </c>
      <c r="O543" s="87">
        <f t="shared" si="113"/>
        <v>4560.299999999999</v>
      </c>
      <c r="P543" s="13">
        <f>P544+P548</f>
        <v>0</v>
      </c>
      <c r="Q543" s="87">
        <f t="shared" si="110"/>
        <v>4560.299999999999</v>
      </c>
      <c r="R543" s="13">
        <f>R544+R548</f>
        <v>-537.5</v>
      </c>
      <c r="S543" s="87">
        <f t="shared" si="109"/>
        <v>4022.7999999999993</v>
      </c>
    </row>
    <row r="544" spans="1:19" ht="33">
      <c r="A544" s="62" t="str">
        <f ca="1">IF(ISERROR(MATCH(E544,Код_КЦСР,0)),"",INDIRECT(ADDRESS(MATCH(E544,Код_КЦСР,0)+1,2,,,"КЦСР")))</f>
        <v>Обеспечение подготовки градостроительной документации и нормативно-правовых актов</v>
      </c>
      <c r="B544" s="115">
        <v>804</v>
      </c>
      <c r="C544" s="8" t="s">
        <v>224</v>
      </c>
      <c r="D544" s="8" t="s">
        <v>204</v>
      </c>
      <c r="E544" s="115" t="s">
        <v>44</v>
      </c>
      <c r="F544" s="115"/>
      <c r="G544" s="70">
        <f aca="true" t="shared" si="121" ref="G544:R546">G545</f>
        <v>7401</v>
      </c>
      <c r="H544" s="70">
        <f t="shared" si="121"/>
        <v>0</v>
      </c>
      <c r="I544" s="70">
        <f t="shared" si="120"/>
        <v>7401</v>
      </c>
      <c r="J544" s="70">
        <f t="shared" si="121"/>
        <v>0</v>
      </c>
      <c r="K544" s="87">
        <f t="shared" si="118"/>
        <v>7401</v>
      </c>
      <c r="L544" s="13">
        <f t="shared" si="121"/>
        <v>-4085.5</v>
      </c>
      <c r="M544" s="87">
        <f t="shared" si="112"/>
        <v>3315.5</v>
      </c>
      <c r="N544" s="13">
        <f t="shared" si="121"/>
        <v>0</v>
      </c>
      <c r="O544" s="87">
        <f t="shared" si="113"/>
        <v>3315.5</v>
      </c>
      <c r="P544" s="13">
        <f t="shared" si="121"/>
        <v>0</v>
      </c>
      <c r="Q544" s="87">
        <f t="shared" si="110"/>
        <v>3315.5</v>
      </c>
      <c r="R544" s="13">
        <f t="shared" si="121"/>
        <v>-447.5</v>
      </c>
      <c r="S544" s="87">
        <f t="shared" si="109"/>
        <v>2868</v>
      </c>
    </row>
    <row r="545" spans="1:19" ht="12.75">
      <c r="A545" s="62" t="str">
        <f ca="1">IF(ISERROR(MATCH(F545,Код_КВР,0)),"",INDIRECT(ADDRESS(MATCH(F545,Код_КВР,0)+1,2,,,"КВР")))</f>
        <v>Закупка товаров, работ и услуг для муниципальных нужд</v>
      </c>
      <c r="B545" s="115">
        <v>804</v>
      </c>
      <c r="C545" s="8" t="s">
        <v>224</v>
      </c>
      <c r="D545" s="8" t="s">
        <v>204</v>
      </c>
      <c r="E545" s="115" t="s">
        <v>44</v>
      </c>
      <c r="F545" s="115">
        <v>200</v>
      </c>
      <c r="G545" s="70">
        <f t="shared" si="121"/>
        <v>7401</v>
      </c>
      <c r="H545" s="70">
        <f t="shared" si="121"/>
        <v>0</v>
      </c>
      <c r="I545" s="70">
        <f t="shared" si="120"/>
        <v>7401</v>
      </c>
      <c r="J545" s="70">
        <f t="shared" si="121"/>
        <v>0</v>
      </c>
      <c r="K545" s="87">
        <f t="shared" si="118"/>
        <v>7401</v>
      </c>
      <c r="L545" s="13">
        <f t="shared" si="121"/>
        <v>-4085.5</v>
      </c>
      <c r="M545" s="87">
        <f t="shared" si="112"/>
        <v>3315.5</v>
      </c>
      <c r="N545" s="13">
        <f t="shared" si="121"/>
        <v>0</v>
      </c>
      <c r="O545" s="87">
        <f t="shared" si="113"/>
        <v>3315.5</v>
      </c>
      <c r="P545" s="13">
        <f t="shared" si="121"/>
        <v>0</v>
      </c>
      <c r="Q545" s="87">
        <f t="shared" si="110"/>
        <v>3315.5</v>
      </c>
      <c r="R545" s="13">
        <f t="shared" si="121"/>
        <v>-447.5</v>
      </c>
      <c r="S545" s="87">
        <f t="shared" si="109"/>
        <v>2868</v>
      </c>
    </row>
    <row r="546" spans="1:19" ht="33">
      <c r="A546" s="62" t="str">
        <f ca="1">IF(ISERROR(MATCH(F546,Код_КВР,0)),"",INDIRECT(ADDRESS(MATCH(F546,Код_КВР,0)+1,2,,,"КВР")))</f>
        <v>Иные закупки товаров, работ и услуг для обеспечения муниципальных нужд</v>
      </c>
      <c r="B546" s="115">
        <v>804</v>
      </c>
      <c r="C546" s="8" t="s">
        <v>224</v>
      </c>
      <c r="D546" s="8" t="s">
        <v>204</v>
      </c>
      <c r="E546" s="115" t="s">
        <v>44</v>
      </c>
      <c r="F546" s="115">
        <v>240</v>
      </c>
      <c r="G546" s="70">
        <f t="shared" si="121"/>
        <v>7401</v>
      </c>
      <c r="H546" s="70">
        <f t="shared" si="121"/>
        <v>0</v>
      </c>
      <c r="I546" s="70">
        <f t="shared" si="120"/>
        <v>7401</v>
      </c>
      <c r="J546" s="70">
        <f t="shared" si="121"/>
        <v>0</v>
      </c>
      <c r="K546" s="87">
        <f t="shared" si="118"/>
        <v>7401</v>
      </c>
      <c r="L546" s="13">
        <f t="shared" si="121"/>
        <v>-4085.5</v>
      </c>
      <c r="M546" s="87">
        <f t="shared" si="112"/>
        <v>3315.5</v>
      </c>
      <c r="N546" s="13">
        <f t="shared" si="121"/>
        <v>0</v>
      </c>
      <c r="O546" s="87">
        <f t="shared" si="113"/>
        <v>3315.5</v>
      </c>
      <c r="P546" s="13">
        <f t="shared" si="121"/>
        <v>0</v>
      </c>
      <c r="Q546" s="87">
        <f t="shared" si="110"/>
        <v>3315.5</v>
      </c>
      <c r="R546" s="13">
        <f t="shared" si="121"/>
        <v>-447.5</v>
      </c>
      <c r="S546" s="87">
        <f t="shared" si="109"/>
        <v>2868</v>
      </c>
    </row>
    <row r="547" spans="1:19" ht="33">
      <c r="A547" s="62" t="str">
        <f ca="1">IF(ISERROR(MATCH(F547,Код_КВР,0)),"",INDIRECT(ADDRESS(MATCH(F547,Код_КВР,0)+1,2,,,"КВР")))</f>
        <v xml:space="preserve">Прочая закупка товаров, работ и услуг для обеспечения муниципальных нужд         </v>
      </c>
      <c r="B547" s="115">
        <v>804</v>
      </c>
      <c r="C547" s="8" t="s">
        <v>224</v>
      </c>
      <c r="D547" s="8" t="s">
        <v>204</v>
      </c>
      <c r="E547" s="115" t="s">
        <v>44</v>
      </c>
      <c r="F547" s="115">
        <v>244</v>
      </c>
      <c r="G547" s="70">
        <v>7401</v>
      </c>
      <c r="H547" s="65"/>
      <c r="I547" s="70">
        <f t="shared" si="120"/>
        <v>7401</v>
      </c>
      <c r="J547" s="65"/>
      <c r="K547" s="87">
        <f t="shared" si="118"/>
        <v>7401</v>
      </c>
      <c r="L547" s="87">
        <f>-4000-85.5</f>
        <v>-4085.5</v>
      </c>
      <c r="M547" s="87">
        <f t="shared" si="112"/>
        <v>3315.5</v>
      </c>
      <c r="N547" s="87"/>
      <c r="O547" s="87">
        <f t="shared" si="113"/>
        <v>3315.5</v>
      </c>
      <c r="P547" s="87"/>
      <c r="Q547" s="87">
        <f t="shared" si="110"/>
        <v>3315.5</v>
      </c>
      <c r="R547" s="87">
        <v>-447.5</v>
      </c>
      <c r="S547" s="87">
        <f t="shared" si="109"/>
        <v>2868</v>
      </c>
    </row>
    <row r="548" spans="1:19" ht="22.5" customHeight="1">
      <c r="A548" s="62" t="str">
        <f ca="1">IF(ISERROR(MATCH(E548,Код_КЦСР,0)),"",INDIRECT(ADDRESS(MATCH(E548,Код_КЦСР,0)+1,2,,,"КЦСР")))</f>
        <v>Создание условий для формирования комфортной городской среды</v>
      </c>
      <c r="B548" s="115">
        <v>804</v>
      </c>
      <c r="C548" s="8" t="s">
        <v>224</v>
      </c>
      <c r="D548" s="8" t="s">
        <v>204</v>
      </c>
      <c r="E548" s="115" t="s">
        <v>46</v>
      </c>
      <c r="F548" s="115"/>
      <c r="G548" s="70">
        <f aca="true" t="shared" si="122" ref="G548:R550">G549</f>
        <v>1244.8</v>
      </c>
      <c r="H548" s="70">
        <f t="shared" si="122"/>
        <v>0</v>
      </c>
      <c r="I548" s="70">
        <f t="shared" si="120"/>
        <v>1244.8</v>
      </c>
      <c r="J548" s="70">
        <f t="shared" si="122"/>
        <v>0</v>
      </c>
      <c r="K548" s="87">
        <f t="shared" si="118"/>
        <v>1244.8</v>
      </c>
      <c r="L548" s="13">
        <f t="shared" si="122"/>
        <v>0</v>
      </c>
      <c r="M548" s="87">
        <f t="shared" si="112"/>
        <v>1244.8</v>
      </c>
      <c r="N548" s="13">
        <f t="shared" si="122"/>
        <v>0</v>
      </c>
      <c r="O548" s="87">
        <f t="shared" si="113"/>
        <v>1244.8</v>
      </c>
      <c r="P548" s="13">
        <f t="shared" si="122"/>
        <v>0</v>
      </c>
      <c r="Q548" s="87">
        <f t="shared" si="110"/>
        <v>1244.8</v>
      </c>
      <c r="R548" s="13">
        <f t="shared" si="122"/>
        <v>-90</v>
      </c>
      <c r="S548" s="87">
        <f t="shared" si="109"/>
        <v>1154.8</v>
      </c>
    </row>
    <row r="549" spans="1:19" ht="12.75">
      <c r="A549" s="62" t="str">
        <f ca="1">IF(ISERROR(MATCH(F549,Код_КВР,0)),"",INDIRECT(ADDRESS(MATCH(F549,Код_КВР,0)+1,2,,,"КВР")))</f>
        <v>Закупка товаров, работ и услуг для муниципальных нужд</v>
      </c>
      <c r="B549" s="115">
        <v>804</v>
      </c>
      <c r="C549" s="8" t="s">
        <v>224</v>
      </c>
      <c r="D549" s="8" t="s">
        <v>204</v>
      </c>
      <c r="E549" s="115" t="s">
        <v>46</v>
      </c>
      <c r="F549" s="115">
        <v>200</v>
      </c>
      <c r="G549" s="70">
        <f t="shared" si="122"/>
        <v>1244.8</v>
      </c>
      <c r="H549" s="70">
        <f t="shared" si="122"/>
        <v>0</v>
      </c>
      <c r="I549" s="70">
        <f t="shared" si="120"/>
        <v>1244.8</v>
      </c>
      <c r="J549" s="70">
        <f t="shared" si="122"/>
        <v>0</v>
      </c>
      <c r="K549" s="87">
        <f t="shared" si="118"/>
        <v>1244.8</v>
      </c>
      <c r="L549" s="13">
        <f t="shared" si="122"/>
        <v>0</v>
      </c>
      <c r="M549" s="87">
        <f t="shared" si="112"/>
        <v>1244.8</v>
      </c>
      <c r="N549" s="13">
        <f t="shared" si="122"/>
        <v>0</v>
      </c>
      <c r="O549" s="87">
        <f t="shared" si="113"/>
        <v>1244.8</v>
      </c>
      <c r="P549" s="13">
        <f t="shared" si="122"/>
        <v>0</v>
      </c>
      <c r="Q549" s="87">
        <f t="shared" si="110"/>
        <v>1244.8</v>
      </c>
      <c r="R549" s="13">
        <f t="shared" si="122"/>
        <v>-90</v>
      </c>
      <c r="S549" s="87">
        <f t="shared" si="109"/>
        <v>1154.8</v>
      </c>
    </row>
    <row r="550" spans="1:19" ht="33">
      <c r="A550" s="62" t="str">
        <f ca="1">IF(ISERROR(MATCH(F550,Код_КВР,0)),"",INDIRECT(ADDRESS(MATCH(F550,Код_КВР,0)+1,2,,,"КВР")))</f>
        <v>Иные закупки товаров, работ и услуг для обеспечения муниципальных нужд</v>
      </c>
      <c r="B550" s="115">
        <v>804</v>
      </c>
      <c r="C550" s="8" t="s">
        <v>224</v>
      </c>
      <c r="D550" s="8" t="s">
        <v>204</v>
      </c>
      <c r="E550" s="115" t="s">
        <v>46</v>
      </c>
      <c r="F550" s="115">
        <v>240</v>
      </c>
      <c r="G550" s="70">
        <f t="shared" si="122"/>
        <v>1244.8</v>
      </c>
      <c r="H550" s="70">
        <f t="shared" si="122"/>
        <v>0</v>
      </c>
      <c r="I550" s="70">
        <f t="shared" si="120"/>
        <v>1244.8</v>
      </c>
      <c r="J550" s="70">
        <f t="shared" si="122"/>
        <v>0</v>
      </c>
      <c r="K550" s="87">
        <f t="shared" si="118"/>
        <v>1244.8</v>
      </c>
      <c r="L550" s="13">
        <f t="shared" si="122"/>
        <v>0</v>
      </c>
      <c r="M550" s="87">
        <f t="shared" si="112"/>
        <v>1244.8</v>
      </c>
      <c r="N550" s="13">
        <f t="shared" si="122"/>
        <v>0</v>
      </c>
      <c r="O550" s="87">
        <f t="shared" si="113"/>
        <v>1244.8</v>
      </c>
      <c r="P550" s="13">
        <f t="shared" si="122"/>
        <v>0</v>
      </c>
      <c r="Q550" s="87">
        <f t="shared" si="110"/>
        <v>1244.8</v>
      </c>
      <c r="R550" s="13">
        <f t="shared" si="122"/>
        <v>-90</v>
      </c>
      <c r="S550" s="87">
        <f t="shared" si="109"/>
        <v>1154.8</v>
      </c>
    </row>
    <row r="551" spans="1:19" ht="33">
      <c r="A551" s="62" t="str">
        <f ca="1">IF(ISERROR(MATCH(F551,Код_КВР,0)),"",INDIRECT(ADDRESS(MATCH(F551,Код_КВР,0)+1,2,,,"КВР")))</f>
        <v xml:space="preserve">Прочая закупка товаров, работ и услуг для обеспечения муниципальных нужд         </v>
      </c>
      <c r="B551" s="115">
        <v>804</v>
      </c>
      <c r="C551" s="8" t="s">
        <v>224</v>
      </c>
      <c r="D551" s="8" t="s">
        <v>204</v>
      </c>
      <c r="E551" s="115" t="s">
        <v>46</v>
      </c>
      <c r="F551" s="115">
        <v>244</v>
      </c>
      <c r="G551" s="70">
        <v>1244.8</v>
      </c>
      <c r="H551" s="65"/>
      <c r="I551" s="70">
        <f t="shared" si="120"/>
        <v>1244.8</v>
      </c>
      <c r="J551" s="65"/>
      <c r="K551" s="87">
        <f t="shared" si="118"/>
        <v>1244.8</v>
      </c>
      <c r="L551" s="87"/>
      <c r="M551" s="87">
        <f t="shared" si="112"/>
        <v>1244.8</v>
      </c>
      <c r="N551" s="87"/>
      <c r="O551" s="87">
        <f t="shared" si="113"/>
        <v>1244.8</v>
      </c>
      <c r="P551" s="87"/>
      <c r="Q551" s="87">
        <f t="shared" si="110"/>
        <v>1244.8</v>
      </c>
      <c r="R551" s="87">
        <f>-25-15-50</f>
        <v>-90</v>
      </c>
      <c r="S551" s="87">
        <f t="shared" si="109"/>
        <v>1154.8</v>
      </c>
    </row>
    <row r="552" spans="1:19" ht="33">
      <c r="A552" s="62" t="str">
        <f ca="1">IF(ISERROR(MATCH(E552,Код_КЦСР,0)),"",INDIRECT(ADDRESS(MATCH(E552,Код_КЦСР,0)+1,2,,,"КЦСР")))</f>
        <v>Непрограммные направления деятельности органов местного самоуправления</v>
      </c>
      <c r="B552" s="115">
        <v>804</v>
      </c>
      <c r="C552" s="8" t="s">
        <v>224</v>
      </c>
      <c r="D552" s="8" t="s">
        <v>204</v>
      </c>
      <c r="E552" s="115" t="s">
        <v>307</v>
      </c>
      <c r="F552" s="115"/>
      <c r="G552" s="70">
        <f aca="true" t="shared" si="123" ref="G552:R554">G553</f>
        <v>31242</v>
      </c>
      <c r="H552" s="70">
        <f t="shared" si="123"/>
        <v>0</v>
      </c>
      <c r="I552" s="70">
        <f t="shared" si="120"/>
        <v>31242</v>
      </c>
      <c r="J552" s="70">
        <f t="shared" si="123"/>
        <v>0</v>
      </c>
      <c r="K552" s="87">
        <f t="shared" si="118"/>
        <v>31242</v>
      </c>
      <c r="L552" s="13">
        <f t="shared" si="123"/>
        <v>0</v>
      </c>
      <c r="M552" s="87">
        <f t="shared" si="112"/>
        <v>31242</v>
      </c>
      <c r="N552" s="13">
        <f t="shared" si="123"/>
        <v>0</v>
      </c>
      <c r="O552" s="87">
        <f t="shared" si="113"/>
        <v>31242</v>
      </c>
      <c r="P552" s="13">
        <f t="shared" si="123"/>
        <v>0</v>
      </c>
      <c r="Q552" s="87">
        <f t="shared" si="110"/>
        <v>31242</v>
      </c>
      <c r="R552" s="13">
        <f t="shared" si="123"/>
        <v>0</v>
      </c>
      <c r="S552" s="87">
        <f t="shared" si="109"/>
        <v>31242</v>
      </c>
    </row>
    <row r="553" spans="1:19" ht="12.75">
      <c r="A553" s="62" t="str">
        <f ca="1">IF(ISERROR(MATCH(E553,Код_КЦСР,0)),"",INDIRECT(ADDRESS(MATCH(E553,Код_КЦСР,0)+1,2,,,"КЦСР")))</f>
        <v>Расходы, не включенные в муниципальные программы города Череповца</v>
      </c>
      <c r="B553" s="115">
        <v>804</v>
      </c>
      <c r="C553" s="8" t="s">
        <v>224</v>
      </c>
      <c r="D553" s="8" t="s">
        <v>204</v>
      </c>
      <c r="E553" s="115" t="s">
        <v>309</v>
      </c>
      <c r="F553" s="115"/>
      <c r="G553" s="70">
        <f t="shared" si="123"/>
        <v>31242</v>
      </c>
      <c r="H553" s="70">
        <f t="shared" si="123"/>
        <v>0</v>
      </c>
      <c r="I553" s="70">
        <f t="shared" si="120"/>
        <v>31242</v>
      </c>
      <c r="J553" s="70">
        <f t="shared" si="123"/>
        <v>0</v>
      </c>
      <c r="K553" s="87">
        <f t="shared" si="118"/>
        <v>31242</v>
      </c>
      <c r="L553" s="13">
        <f t="shared" si="123"/>
        <v>0</v>
      </c>
      <c r="M553" s="87">
        <f t="shared" si="112"/>
        <v>31242</v>
      </c>
      <c r="N553" s="13">
        <f t="shared" si="123"/>
        <v>0</v>
      </c>
      <c r="O553" s="87">
        <f t="shared" si="113"/>
        <v>31242</v>
      </c>
      <c r="P553" s="13">
        <f t="shared" si="123"/>
        <v>0</v>
      </c>
      <c r="Q553" s="87">
        <f t="shared" si="110"/>
        <v>31242</v>
      </c>
      <c r="R553" s="13">
        <f t="shared" si="123"/>
        <v>0</v>
      </c>
      <c r="S553" s="87">
        <f t="shared" si="109"/>
        <v>31242</v>
      </c>
    </row>
    <row r="554" spans="1:19" ht="33">
      <c r="A554" s="62" t="str">
        <f ca="1">IF(ISERROR(MATCH(E554,Код_КЦСР,0)),"",INDIRECT(ADDRESS(MATCH(E554,Код_КЦСР,0)+1,2,,,"КЦСР")))</f>
        <v>Руководство и управление в сфере установленных функций органов местного самоуправления</v>
      </c>
      <c r="B554" s="115">
        <v>804</v>
      </c>
      <c r="C554" s="8" t="s">
        <v>224</v>
      </c>
      <c r="D554" s="8" t="s">
        <v>204</v>
      </c>
      <c r="E554" s="115" t="s">
        <v>311</v>
      </c>
      <c r="F554" s="115"/>
      <c r="G554" s="70">
        <f t="shared" si="123"/>
        <v>31242</v>
      </c>
      <c r="H554" s="70">
        <f t="shared" si="123"/>
        <v>0</v>
      </c>
      <c r="I554" s="70">
        <f t="shared" si="120"/>
        <v>31242</v>
      </c>
      <c r="J554" s="70">
        <f t="shared" si="123"/>
        <v>0</v>
      </c>
      <c r="K554" s="87">
        <f t="shared" si="118"/>
        <v>31242</v>
      </c>
      <c r="L554" s="13">
        <f t="shared" si="123"/>
        <v>0</v>
      </c>
      <c r="M554" s="87">
        <f t="shared" si="112"/>
        <v>31242</v>
      </c>
      <c r="N554" s="13">
        <f t="shared" si="123"/>
        <v>0</v>
      </c>
      <c r="O554" s="87">
        <f t="shared" si="113"/>
        <v>31242</v>
      </c>
      <c r="P554" s="13">
        <f t="shared" si="123"/>
        <v>0</v>
      </c>
      <c r="Q554" s="87">
        <f t="shared" si="110"/>
        <v>31242</v>
      </c>
      <c r="R554" s="13">
        <f t="shared" si="123"/>
        <v>0</v>
      </c>
      <c r="S554" s="87">
        <f t="shared" si="109"/>
        <v>31242</v>
      </c>
    </row>
    <row r="555" spans="1:19" ht="12.75">
      <c r="A555" s="62" t="str">
        <f ca="1">IF(ISERROR(MATCH(E555,Код_КЦСР,0)),"",INDIRECT(ADDRESS(MATCH(E555,Код_КЦСР,0)+1,2,,,"КЦСР")))</f>
        <v>Центральный аппарат</v>
      </c>
      <c r="B555" s="115">
        <v>804</v>
      </c>
      <c r="C555" s="8" t="s">
        <v>224</v>
      </c>
      <c r="D555" s="8" t="s">
        <v>204</v>
      </c>
      <c r="E555" s="115" t="s">
        <v>314</v>
      </c>
      <c r="F555" s="115"/>
      <c r="G555" s="70">
        <f>G556+G558+G561</f>
        <v>31242</v>
      </c>
      <c r="H555" s="70">
        <f>H556+H558+H561</f>
        <v>0</v>
      </c>
      <c r="I555" s="70">
        <f t="shared" si="120"/>
        <v>31242</v>
      </c>
      <c r="J555" s="70">
        <f>J556+J558+J561</f>
        <v>0</v>
      </c>
      <c r="K555" s="87">
        <f t="shared" si="118"/>
        <v>31242</v>
      </c>
      <c r="L555" s="13">
        <f>L556+L558+L561</f>
        <v>0</v>
      </c>
      <c r="M555" s="87">
        <f t="shared" si="112"/>
        <v>31242</v>
      </c>
      <c r="N555" s="13">
        <f>N556+N558+N561</f>
        <v>0</v>
      </c>
      <c r="O555" s="87">
        <f t="shared" si="113"/>
        <v>31242</v>
      </c>
      <c r="P555" s="13">
        <f>P556+P558+P561</f>
        <v>0</v>
      </c>
      <c r="Q555" s="87">
        <f t="shared" si="110"/>
        <v>31242</v>
      </c>
      <c r="R555" s="13">
        <f>R556+R558+R561</f>
        <v>0</v>
      </c>
      <c r="S555" s="87">
        <f t="shared" si="109"/>
        <v>31242</v>
      </c>
    </row>
    <row r="556" spans="1:19" ht="33">
      <c r="A556" s="62" t="str">
        <f aca="true" t="shared" si="124" ref="A556:A562">IF(ISERROR(MATCH(F556,Код_КВР,0)),"",INDIRECT(ADDRESS(MATCH(F556,Код_КВР,0)+1,2,,,"КВР")))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6" s="115">
        <v>804</v>
      </c>
      <c r="C556" s="8" t="s">
        <v>224</v>
      </c>
      <c r="D556" s="8" t="s">
        <v>204</v>
      </c>
      <c r="E556" s="115" t="s">
        <v>314</v>
      </c>
      <c r="F556" s="115">
        <v>100</v>
      </c>
      <c r="G556" s="70">
        <f>G557</f>
        <v>31220</v>
      </c>
      <c r="H556" s="70">
        <f>H557</f>
        <v>0</v>
      </c>
      <c r="I556" s="70">
        <f t="shared" si="120"/>
        <v>31220</v>
      </c>
      <c r="J556" s="70">
        <f>J557</f>
        <v>0</v>
      </c>
      <c r="K556" s="87">
        <f t="shared" si="118"/>
        <v>31220</v>
      </c>
      <c r="L556" s="13">
        <f>L557</f>
        <v>0</v>
      </c>
      <c r="M556" s="87">
        <f t="shared" si="112"/>
        <v>31220</v>
      </c>
      <c r="N556" s="13">
        <f>N557</f>
        <v>0</v>
      </c>
      <c r="O556" s="87">
        <f t="shared" si="113"/>
        <v>31220</v>
      </c>
      <c r="P556" s="13">
        <f>P557</f>
        <v>-0.1</v>
      </c>
      <c r="Q556" s="87">
        <f t="shared" si="110"/>
        <v>31219.9</v>
      </c>
      <c r="R556" s="13">
        <f>R557</f>
        <v>0</v>
      </c>
      <c r="S556" s="87">
        <f t="shared" si="109"/>
        <v>31219.9</v>
      </c>
    </row>
    <row r="557" spans="1:19" ht="12.75">
      <c r="A557" s="62" t="str">
        <f ca="1" t="shared" si="124"/>
        <v>Расходы на выплаты персоналу муниципальных органов</v>
      </c>
      <c r="B557" s="115">
        <v>804</v>
      </c>
      <c r="C557" s="8" t="s">
        <v>224</v>
      </c>
      <c r="D557" s="8" t="s">
        <v>204</v>
      </c>
      <c r="E557" s="115" t="s">
        <v>314</v>
      </c>
      <c r="F557" s="115">
        <v>120</v>
      </c>
      <c r="G557" s="70">
        <v>31220</v>
      </c>
      <c r="H557" s="65"/>
      <c r="I557" s="70">
        <f t="shared" si="120"/>
        <v>31220</v>
      </c>
      <c r="J557" s="65"/>
      <c r="K557" s="87">
        <f t="shared" si="118"/>
        <v>31220</v>
      </c>
      <c r="L557" s="87"/>
      <c r="M557" s="87">
        <f t="shared" si="112"/>
        <v>31220</v>
      </c>
      <c r="N557" s="87"/>
      <c r="O557" s="87">
        <f t="shared" si="113"/>
        <v>31220</v>
      </c>
      <c r="P557" s="87">
        <v>-0.1</v>
      </c>
      <c r="Q557" s="87">
        <f t="shared" si="110"/>
        <v>31219.9</v>
      </c>
      <c r="R557" s="87"/>
      <c r="S557" s="87">
        <f aca="true" t="shared" si="125" ref="S557:S626">Q557+R557</f>
        <v>31219.9</v>
      </c>
    </row>
    <row r="558" spans="1:19" ht="12.75">
      <c r="A558" s="62" t="str">
        <f ca="1" t="shared" si="124"/>
        <v>Закупка товаров, работ и услуг для муниципальных нужд</v>
      </c>
      <c r="B558" s="115">
        <v>804</v>
      </c>
      <c r="C558" s="8" t="s">
        <v>224</v>
      </c>
      <c r="D558" s="8" t="s">
        <v>204</v>
      </c>
      <c r="E558" s="115" t="s">
        <v>314</v>
      </c>
      <c r="F558" s="115">
        <v>200</v>
      </c>
      <c r="G558" s="70">
        <f>G559</f>
        <v>20</v>
      </c>
      <c r="H558" s="70">
        <f>H559</f>
        <v>0</v>
      </c>
      <c r="I558" s="70">
        <f t="shared" si="120"/>
        <v>20</v>
      </c>
      <c r="J558" s="70">
        <f>J559</f>
        <v>0</v>
      </c>
      <c r="K558" s="87">
        <f t="shared" si="118"/>
        <v>20</v>
      </c>
      <c r="L558" s="13">
        <f>L559</f>
        <v>0</v>
      </c>
      <c r="M558" s="87">
        <f t="shared" si="112"/>
        <v>20</v>
      </c>
      <c r="N558" s="13">
        <f>N559</f>
        <v>0</v>
      </c>
      <c r="O558" s="87">
        <f t="shared" si="113"/>
        <v>20</v>
      </c>
      <c r="P558" s="13">
        <f>P559</f>
        <v>0</v>
      </c>
      <c r="Q558" s="87">
        <f t="shared" si="110"/>
        <v>20</v>
      </c>
      <c r="R558" s="13">
        <f>R559</f>
        <v>0</v>
      </c>
      <c r="S558" s="87">
        <f t="shared" si="125"/>
        <v>20</v>
      </c>
    </row>
    <row r="559" spans="1:19" ht="33">
      <c r="A559" s="62" t="str">
        <f ca="1" t="shared" si="124"/>
        <v>Иные закупки товаров, работ и услуг для обеспечения муниципальных нужд</v>
      </c>
      <c r="B559" s="115">
        <v>804</v>
      </c>
      <c r="C559" s="8" t="s">
        <v>224</v>
      </c>
      <c r="D559" s="8" t="s">
        <v>204</v>
      </c>
      <c r="E559" s="115" t="s">
        <v>314</v>
      </c>
      <c r="F559" s="115">
        <v>240</v>
      </c>
      <c r="G559" s="70">
        <f>G560</f>
        <v>20</v>
      </c>
      <c r="H559" s="70">
        <f>H560</f>
        <v>0</v>
      </c>
      <c r="I559" s="70">
        <f t="shared" si="120"/>
        <v>20</v>
      </c>
      <c r="J559" s="70">
        <f>J560</f>
        <v>0</v>
      </c>
      <c r="K559" s="87">
        <f t="shared" si="118"/>
        <v>20</v>
      </c>
      <c r="L559" s="13">
        <f>L560</f>
        <v>0</v>
      </c>
      <c r="M559" s="87">
        <f t="shared" si="112"/>
        <v>20</v>
      </c>
      <c r="N559" s="13">
        <f>N560</f>
        <v>0</v>
      </c>
      <c r="O559" s="87">
        <f t="shared" si="113"/>
        <v>20</v>
      </c>
      <c r="P559" s="13">
        <f>P560</f>
        <v>0</v>
      </c>
      <c r="Q559" s="87">
        <f t="shared" si="110"/>
        <v>20</v>
      </c>
      <c r="R559" s="13">
        <f>R560</f>
        <v>0</v>
      </c>
      <c r="S559" s="87">
        <f t="shared" si="125"/>
        <v>20</v>
      </c>
    </row>
    <row r="560" spans="1:19" ht="33">
      <c r="A560" s="62" t="str">
        <f ca="1" t="shared" si="124"/>
        <v xml:space="preserve">Прочая закупка товаров, работ и услуг для обеспечения муниципальных нужд         </v>
      </c>
      <c r="B560" s="115">
        <v>804</v>
      </c>
      <c r="C560" s="8" t="s">
        <v>224</v>
      </c>
      <c r="D560" s="8" t="s">
        <v>204</v>
      </c>
      <c r="E560" s="115" t="s">
        <v>314</v>
      </c>
      <c r="F560" s="115">
        <v>244</v>
      </c>
      <c r="G560" s="70">
        <v>20</v>
      </c>
      <c r="H560" s="65"/>
      <c r="I560" s="70">
        <f t="shared" si="120"/>
        <v>20</v>
      </c>
      <c r="J560" s="65"/>
      <c r="K560" s="87">
        <f t="shared" si="118"/>
        <v>20</v>
      </c>
      <c r="L560" s="87"/>
      <c r="M560" s="87">
        <f t="shared" si="112"/>
        <v>20</v>
      </c>
      <c r="N560" s="87"/>
      <c r="O560" s="87">
        <f t="shared" si="113"/>
        <v>20</v>
      </c>
      <c r="P560" s="87"/>
      <c r="Q560" s="87">
        <f t="shared" si="110"/>
        <v>20</v>
      </c>
      <c r="R560" s="87"/>
      <c r="S560" s="87">
        <f t="shared" si="125"/>
        <v>20</v>
      </c>
    </row>
    <row r="561" spans="1:19" ht="12.75">
      <c r="A561" s="62" t="str">
        <f ca="1" t="shared" si="124"/>
        <v>Иные бюджетные ассигнования</v>
      </c>
      <c r="B561" s="115">
        <v>804</v>
      </c>
      <c r="C561" s="8" t="s">
        <v>224</v>
      </c>
      <c r="D561" s="8" t="s">
        <v>204</v>
      </c>
      <c r="E561" s="115" t="s">
        <v>314</v>
      </c>
      <c r="F561" s="115">
        <v>800</v>
      </c>
      <c r="G561" s="70">
        <f>G562</f>
        <v>2</v>
      </c>
      <c r="H561" s="70">
        <f>H562</f>
        <v>0</v>
      </c>
      <c r="I561" s="70">
        <f t="shared" si="120"/>
        <v>2</v>
      </c>
      <c r="J561" s="70">
        <f>J562</f>
        <v>0</v>
      </c>
      <c r="K561" s="87">
        <f t="shared" si="118"/>
        <v>2</v>
      </c>
      <c r="L561" s="13">
        <f>L562</f>
        <v>0</v>
      </c>
      <c r="M561" s="87">
        <f t="shared" si="112"/>
        <v>2</v>
      </c>
      <c r="N561" s="13">
        <f>N562</f>
        <v>0</v>
      </c>
      <c r="O561" s="87">
        <f t="shared" si="113"/>
        <v>2</v>
      </c>
      <c r="P561" s="13">
        <f>P562</f>
        <v>0.1</v>
      </c>
      <c r="Q561" s="87">
        <f t="shared" si="110"/>
        <v>2.1</v>
      </c>
      <c r="R561" s="13">
        <f>R562</f>
        <v>0</v>
      </c>
      <c r="S561" s="87">
        <f t="shared" si="125"/>
        <v>2.1</v>
      </c>
    </row>
    <row r="562" spans="1:19" ht="12.75">
      <c r="A562" s="62" t="str">
        <f ca="1" t="shared" si="124"/>
        <v>Уплата налогов, сборов и иных платежей</v>
      </c>
      <c r="B562" s="115">
        <v>804</v>
      </c>
      <c r="C562" s="8" t="s">
        <v>224</v>
      </c>
      <c r="D562" s="8" t="s">
        <v>204</v>
      </c>
      <c r="E562" s="115" t="s">
        <v>314</v>
      </c>
      <c r="F562" s="115">
        <v>850</v>
      </c>
      <c r="G562" s="70">
        <f>G564</f>
        <v>2</v>
      </c>
      <c r="H562" s="70">
        <f>H564</f>
        <v>0</v>
      </c>
      <c r="I562" s="70">
        <f t="shared" si="120"/>
        <v>2</v>
      </c>
      <c r="J562" s="70">
        <f>J564</f>
        <v>0</v>
      </c>
      <c r="K562" s="87">
        <f t="shared" si="118"/>
        <v>2</v>
      </c>
      <c r="L562" s="13">
        <f>L564</f>
        <v>0</v>
      </c>
      <c r="M562" s="87">
        <f t="shared" si="112"/>
        <v>2</v>
      </c>
      <c r="N562" s="13">
        <f>N564</f>
        <v>0</v>
      </c>
      <c r="O562" s="87">
        <f t="shared" si="113"/>
        <v>2</v>
      </c>
      <c r="P562" s="13">
        <f>P564+P563</f>
        <v>0.1</v>
      </c>
      <c r="Q562" s="87">
        <f aca="true" t="shared" si="126" ref="Q562:Q632">O562+P562</f>
        <v>2.1</v>
      </c>
      <c r="R562" s="13">
        <f>R564+R563</f>
        <v>0</v>
      </c>
      <c r="S562" s="87">
        <f t="shared" si="125"/>
        <v>2.1</v>
      </c>
    </row>
    <row r="563" spans="1:19" s="94" customFormat="1" ht="12.75">
      <c r="A563" s="62" t="str">
        <f ca="1">IF(ISERROR(MATCH(F563,Код_КВР,0)),"",INDIRECT(ADDRESS(MATCH(F563,Код_КВР,0)+1,2,,,"КВР")))</f>
        <v>Уплата налога на имущество организаций и земельного налога</v>
      </c>
      <c r="B563" s="115">
        <v>804</v>
      </c>
      <c r="C563" s="8" t="s">
        <v>224</v>
      </c>
      <c r="D563" s="8" t="s">
        <v>204</v>
      </c>
      <c r="E563" s="115" t="s">
        <v>314</v>
      </c>
      <c r="F563" s="115">
        <v>851</v>
      </c>
      <c r="G563" s="70"/>
      <c r="H563" s="70"/>
      <c r="I563" s="70"/>
      <c r="J563" s="70"/>
      <c r="K563" s="87"/>
      <c r="L563" s="13"/>
      <c r="M563" s="87"/>
      <c r="N563" s="13"/>
      <c r="O563" s="87"/>
      <c r="P563" s="13">
        <v>0.1</v>
      </c>
      <c r="Q563" s="87">
        <f t="shared" si="126"/>
        <v>0.1</v>
      </c>
      <c r="R563" s="13"/>
      <c r="S563" s="87">
        <f t="shared" si="125"/>
        <v>0.1</v>
      </c>
    </row>
    <row r="564" spans="1:19" ht="12.75">
      <c r="A564" s="62" t="str">
        <f ca="1">IF(ISERROR(MATCH(F564,Код_КВР,0)),"",INDIRECT(ADDRESS(MATCH(F564,Код_КВР,0)+1,2,,,"КВР")))</f>
        <v>Уплата прочих налогов, сборов и иных платежей</v>
      </c>
      <c r="B564" s="115">
        <v>804</v>
      </c>
      <c r="C564" s="8" t="s">
        <v>224</v>
      </c>
      <c r="D564" s="8" t="s">
        <v>204</v>
      </c>
      <c r="E564" s="115" t="s">
        <v>314</v>
      </c>
      <c r="F564" s="115">
        <v>852</v>
      </c>
      <c r="G564" s="70">
        <v>2</v>
      </c>
      <c r="H564" s="65"/>
      <c r="I564" s="70">
        <f t="shared" si="120"/>
        <v>2</v>
      </c>
      <c r="J564" s="65"/>
      <c r="K564" s="87">
        <f t="shared" si="118"/>
        <v>2</v>
      </c>
      <c r="L564" s="87"/>
      <c r="M564" s="87">
        <f t="shared" si="112"/>
        <v>2</v>
      </c>
      <c r="N564" s="87"/>
      <c r="O564" s="87">
        <f t="shared" si="113"/>
        <v>2</v>
      </c>
      <c r="P564" s="87"/>
      <c r="Q564" s="87">
        <f t="shared" si="126"/>
        <v>2</v>
      </c>
      <c r="R564" s="87"/>
      <c r="S564" s="87">
        <f t="shared" si="125"/>
        <v>2</v>
      </c>
    </row>
    <row r="565" spans="1:19" ht="12.75">
      <c r="A565" s="62" t="str">
        <f ca="1">IF(ISERROR(MATCH(B565,Код_ППП,0)),"",INDIRECT(ADDRESS(MATCH(B565,Код_ППП,0)+1,2,,,"ППП")))</f>
        <v>УПРАВЛЕНИЕ ОБРАЗОВАНИЯ МЭРИИ ГОРОДА</v>
      </c>
      <c r="B565" s="115">
        <v>805</v>
      </c>
      <c r="C565" s="8"/>
      <c r="D565" s="8"/>
      <c r="E565" s="115"/>
      <c r="F565" s="115"/>
      <c r="G565" s="70">
        <f>G578+G805</f>
        <v>3169541.4</v>
      </c>
      <c r="H565" s="70">
        <f>H578+H805</f>
        <v>0</v>
      </c>
      <c r="I565" s="70">
        <f t="shared" si="120"/>
        <v>3169541.4</v>
      </c>
      <c r="J565" s="70">
        <f>J578+J805</f>
        <v>37566</v>
      </c>
      <c r="K565" s="87">
        <f t="shared" si="118"/>
        <v>3207107.4</v>
      </c>
      <c r="L565" s="13">
        <f>L578+L805</f>
        <v>-505</v>
      </c>
      <c r="M565" s="87">
        <f>K565+L565</f>
        <v>3206602.4</v>
      </c>
      <c r="N565" s="13">
        <f>N566+N578+N805</f>
        <v>1986.4</v>
      </c>
      <c r="O565" s="87">
        <f>M565+N565</f>
        <v>3208588.8</v>
      </c>
      <c r="P565" s="13">
        <f>P566+P578+P805</f>
        <v>0</v>
      </c>
      <c r="Q565" s="87">
        <f t="shared" si="126"/>
        <v>3208588.8</v>
      </c>
      <c r="R565" s="13">
        <f>R566+R578+R805</f>
        <v>2892.8</v>
      </c>
      <c r="S565" s="87">
        <f t="shared" si="125"/>
        <v>3211481.5999999996</v>
      </c>
    </row>
    <row r="566" spans="1:19" s="94" customFormat="1" ht="12.75">
      <c r="A566" s="62" t="str">
        <f ca="1">IF(ISERROR(MATCH(C566,Код_Раздел,0)),"",INDIRECT(ADDRESS(MATCH(C566,Код_Раздел,0)+1,2,,,"Раздел")))</f>
        <v>Национальная экономика</v>
      </c>
      <c r="B566" s="115">
        <v>805</v>
      </c>
      <c r="C566" s="8" t="s">
        <v>224</v>
      </c>
      <c r="D566" s="8"/>
      <c r="E566" s="115"/>
      <c r="F566" s="115"/>
      <c r="G566" s="70"/>
      <c r="H566" s="70"/>
      <c r="I566" s="70"/>
      <c r="J566" s="70"/>
      <c r="K566" s="87"/>
      <c r="L566" s="13"/>
      <c r="M566" s="87"/>
      <c r="N566" s="13">
        <f>N567</f>
        <v>68.9</v>
      </c>
      <c r="O566" s="87">
        <f t="shared" si="113"/>
        <v>68.9</v>
      </c>
      <c r="P566" s="13">
        <f>P567</f>
        <v>0</v>
      </c>
      <c r="Q566" s="87">
        <f t="shared" si="126"/>
        <v>68.9</v>
      </c>
      <c r="R566" s="13">
        <f>R567</f>
        <v>0</v>
      </c>
      <c r="S566" s="87">
        <f t="shared" si="125"/>
        <v>68.9</v>
      </c>
    </row>
    <row r="567" spans="1:19" s="94" customFormat="1" ht="12.75">
      <c r="A567" s="78" t="s">
        <v>211</v>
      </c>
      <c r="B567" s="115">
        <v>805</v>
      </c>
      <c r="C567" s="8" t="s">
        <v>224</v>
      </c>
      <c r="D567" s="8" t="s">
        <v>221</v>
      </c>
      <c r="E567" s="115"/>
      <c r="F567" s="115"/>
      <c r="G567" s="70"/>
      <c r="H567" s="70"/>
      <c r="I567" s="70"/>
      <c r="J567" s="70"/>
      <c r="K567" s="87"/>
      <c r="L567" s="13"/>
      <c r="M567" s="87"/>
      <c r="N567" s="13">
        <f>N568</f>
        <v>68.9</v>
      </c>
      <c r="O567" s="87">
        <f t="shared" si="113"/>
        <v>68.9</v>
      </c>
      <c r="P567" s="13">
        <f>P568</f>
        <v>0</v>
      </c>
      <c r="Q567" s="87">
        <f t="shared" si="126"/>
        <v>68.9</v>
      </c>
      <c r="R567" s="13">
        <f>R568</f>
        <v>0</v>
      </c>
      <c r="S567" s="87">
        <f t="shared" si="125"/>
        <v>68.9</v>
      </c>
    </row>
    <row r="568" spans="1:19" s="94" customFormat="1" ht="33">
      <c r="A568" s="62" t="str">
        <f ca="1">IF(ISERROR(MATCH(E568,Код_КЦСР,0)),"",INDIRECT(ADDRESS(MATCH(E568,Код_КЦСР,0)+1,2,,,"КЦСР")))</f>
        <v>Непрограммные направления деятельности органов местного самоуправления</v>
      </c>
      <c r="B568" s="115">
        <v>805</v>
      </c>
      <c r="C568" s="8" t="s">
        <v>224</v>
      </c>
      <c r="D568" s="8" t="s">
        <v>221</v>
      </c>
      <c r="E568" s="115" t="s">
        <v>307</v>
      </c>
      <c r="F568" s="115"/>
      <c r="G568" s="70"/>
      <c r="H568" s="70"/>
      <c r="I568" s="70"/>
      <c r="J568" s="70"/>
      <c r="K568" s="87"/>
      <c r="L568" s="13"/>
      <c r="M568" s="87"/>
      <c r="N568" s="13">
        <f>N569</f>
        <v>68.9</v>
      </c>
      <c r="O568" s="87">
        <f t="shared" si="113"/>
        <v>68.9</v>
      </c>
      <c r="P568" s="13">
        <f>P569</f>
        <v>0</v>
      </c>
      <c r="Q568" s="87">
        <f t="shared" si="126"/>
        <v>68.9</v>
      </c>
      <c r="R568" s="13">
        <f>R569</f>
        <v>0</v>
      </c>
      <c r="S568" s="87">
        <f t="shared" si="125"/>
        <v>68.9</v>
      </c>
    </row>
    <row r="569" spans="1:19" s="94" customFormat="1" ht="28.5" customHeight="1">
      <c r="A569" s="62" t="str">
        <f ca="1">IF(ISERROR(MATCH(E569,Код_КЦСР,0)),"",INDIRECT(ADDRESS(MATCH(E569,Код_КЦСР,0)+1,2,,,"КЦСР")))</f>
        <v>Расходы, не включенные в муниципальные программы города Череповца</v>
      </c>
      <c r="B569" s="115">
        <v>805</v>
      </c>
      <c r="C569" s="8" t="s">
        <v>224</v>
      </c>
      <c r="D569" s="8" t="s">
        <v>221</v>
      </c>
      <c r="E569" s="115" t="s">
        <v>309</v>
      </c>
      <c r="F569" s="115"/>
      <c r="G569" s="70"/>
      <c r="H569" s="70"/>
      <c r="I569" s="70"/>
      <c r="J569" s="70"/>
      <c r="K569" s="87"/>
      <c r="L569" s="13"/>
      <c r="M569" s="87"/>
      <c r="N569" s="13">
        <f>N570+N574</f>
        <v>68.9</v>
      </c>
      <c r="O569" s="87">
        <f t="shared" si="113"/>
        <v>68.9</v>
      </c>
      <c r="P569" s="13">
        <f>P570+P574</f>
        <v>0</v>
      </c>
      <c r="Q569" s="87">
        <f t="shared" si="126"/>
        <v>68.9</v>
      </c>
      <c r="R569" s="13">
        <f>R570+R574</f>
        <v>0</v>
      </c>
      <c r="S569" s="87">
        <f t="shared" si="125"/>
        <v>68.9</v>
      </c>
    </row>
    <row r="570" spans="1:19" s="94" customFormat="1" ht="49.5">
      <c r="A570" s="62" t="str">
        <f ca="1">IF(ISERROR(MATCH(E570,Код_КЦСР,0)),"",INDIRECT(ADDRESS(MATCH(E570,Код_КЦСР,0)+1,2,,,"КЦСР")))</f>
        <v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v>
      </c>
      <c r="B570" s="115">
        <v>805</v>
      </c>
      <c r="C570" s="8" t="s">
        <v>224</v>
      </c>
      <c r="D570" s="8" t="s">
        <v>221</v>
      </c>
      <c r="E570" s="115" t="s">
        <v>638</v>
      </c>
      <c r="F570" s="115"/>
      <c r="G570" s="70"/>
      <c r="H570" s="70"/>
      <c r="I570" s="70"/>
      <c r="J570" s="70"/>
      <c r="K570" s="87"/>
      <c r="L570" s="13"/>
      <c r="M570" s="87"/>
      <c r="N570" s="13">
        <f>N571</f>
        <v>3.4</v>
      </c>
      <c r="O570" s="87">
        <f t="shared" si="113"/>
        <v>3.4</v>
      </c>
      <c r="P570" s="13">
        <f>P571</f>
        <v>0</v>
      </c>
      <c r="Q570" s="87">
        <f t="shared" si="126"/>
        <v>3.4</v>
      </c>
      <c r="R570" s="13">
        <f>R571</f>
        <v>0</v>
      </c>
      <c r="S570" s="87">
        <f t="shared" si="125"/>
        <v>3.4</v>
      </c>
    </row>
    <row r="571" spans="1:19" s="94" customFormat="1" ht="33">
      <c r="A571" s="62" t="str">
        <f ca="1">IF(ISERROR(MATCH(F571,Код_КВР,0)),"",INDIRECT(ADDRESS(MATCH(F571,Код_КВР,0)+1,2,,,"КВР")))</f>
        <v>Предоставление субсидий бюджетным, автономным учреждениям и иным некоммерческим организациям</v>
      </c>
      <c r="B571" s="115">
        <v>805</v>
      </c>
      <c r="C571" s="8" t="s">
        <v>224</v>
      </c>
      <c r="D571" s="8" t="s">
        <v>221</v>
      </c>
      <c r="E571" s="115" t="s">
        <v>638</v>
      </c>
      <c r="F571" s="115">
        <v>600</v>
      </c>
      <c r="G571" s="70"/>
      <c r="H571" s="70"/>
      <c r="I571" s="70"/>
      <c r="J571" s="70"/>
      <c r="K571" s="87"/>
      <c r="L571" s="13"/>
      <c r="M571" s="87"/>
      <c r="N571" s="13">
        <f>N572</f>
        <v>3.4</v>
      </c>
      <c r="O571" s="87">
        <f t="shared" si="113"/>
        <v>3.4</v>
      </c>
      <c r="P571" s="13">
        <f>P572</f>
        <v>0</v>
      </c>
      <c r="Q571" s="87">
        <f t="shared" si="126"/>
        <v>3.4</v>
      </c>
      <c r="R571" s="13">
        <f>R572</f>
        <v>0</v>
      </c>
      <c r="S571" s="87">
        <f t="shared" si="125"/>
        <v>3.4</v>
      </c>
    </row>
    <row r="572" spans="1:19" s="94" customFormat="1" ht="12.75">
      <c r="A572" s="62" t="str">
        <f ca="1">IF(ISERROR(MATCH(F572,Код_КВР,0)),"",INDIRECT(ADDRESS(MATCH(F572,Код_КВР,0)+1,2,,,"КВР")))</f>
        <v>Субсидии бюджетным учреждениям</v>
      </c>
      <c r="B572" s="115">
        <v>805</v>
      </c>
      <c r="C572" s="8" t="s">
        <v>224</v>
      </c>
      <c r="D572" s="8" t="s">
        <v>221</v>
      </c>
      <c r="E572" s="115" t="s">
        <v>638</v>
      </c>
      <c r="F572" s="115">
        <v>610</v>
      </c>
      <c r="G572" s="70"/>
      <c r="H572" s="70"/>
      <c r="I572" s="70"/>
      <c r="J572" s="70"/>
      <c r="K572" s="87"/>
      <c r="L572" s="13"/>
      <c r="M572" s="87"/>
      <c r="N572" s="13">
        <f>N573</f>
        <v>3.4</v>
      </c>
      <c r="O572" s="87">
        <f t="shared" si="113"/>
        <v>3.4</v>
      </c>
      <c r="P572" s="13">
        <f>P573</f>
        <v>0</v>
      </c>
      <c r="Q572" s="87">
        <f t="shared" si="126"/>
        <v>3.4</v>
      </c>
      <c r="R572" s="13">
        <f>R573</f>
        <v>0</v>
      </c>
      <c r="S572" s="87">
        <f t="shared" si="125"/>
        <v>3.4</v>
      </c>
    </row>
    <row r="573" spans="1:19" s="94" customFormat="1" ht="12.75">
      <c r="A573" s="62" t="str">
        <f ca="1">IF(ISERROR(MATCH(F573,Код_КВР,0)),"",INDIRECT(ADDRESS(MATCH(F573,Код_КВР,0)+1,2,,,"КВР")))</f>
        <v>Субсидии бюджетным учреждениям на иные цели</v>
      </c>
      <c r="B573" s="115">
        <v>805</v>
      </c>
      <c r="C573" s="8" t="s">
        <v>224</v>
      </c>
      <c r="D573" s="8" t="s">
        <v>221</v>
      </c>
      <c r="E573" s="115" t="s">
        <v>638</v>
      </c>
      <c r="F573" s="115">
        <v>612</v>
      </c>
      <c r="G573" s="70"/>
      <c r="H573" s="70"/>
      <c r="I573" s="70"/>
      <c r="J573" s="70"/>
      <c r="K573" s="87"/>
      <c r="L573" s="13"/>
      <c r="M573" s="87"/>
      <c r="N573" s="13">
        <v>3.4</v>
      </c>
      <c r="O573" s="87">
        <f t="shared" si="113"/>
        <v>3.4</v>
      </c>
      <c r="P573" s="13"/>
      <c r="Q573" s="87">
        <f t="shared" si="126"/>
        <v>3.4</v>
      </c>
      <c r="R573" s="13"/>
      <c r="S573" s="87">
        <f t="shared" si="125"/>
        <v>3.4</v>
      </c>
    </row>
    <row r="574" spans="1:19" s="94" customFormat="1" ht="39" customHeight="1">
      <c r="A574" s="62" t="str">
        <f ca="1">IF(ISERROR(MATCH(E574,Код_КЦСР,0)),"",INDIRECT(ADDRESS(MATCH(E574,Код_КЦСР,0)+1,2,,,"КЦСР")))</f>
        <v>Реализация дополнительных мероприятий в сфере занятости населения за счет иных межбюджетных трансфертов из федерального бюджета</v>
      </c>
      <c r="B574" s="115">
        <v>805</v>
      </c>
      <c r="C574" s="8" t="s">
        <v>224</v>
      </c>
      <c r="D574" s="8" t="s">
        <v>221</v>
      </c>
      <c r="E574" s="115" t="s">
        <v>636</v>
      </c>
      <c r="F574" s="115"/>
      <c r="G574" s="70"/>
      <c r="H574" s="70"/>
      <c r="I574" s="70"/>
      <c r="J574" s="70"/>
      <c r="K574" s="87"/>
      <c r="L574" s="13"/>
      <c r="M574" s="87"/>
      <c r="N574" s="13">
        <f>N575</f>
        <v>65.5</v>
      </c>
      <c r="O574" s="87">
        <f t="shared" si="113"/>
        <v>65.5</v>
      </c>
      <c r="P574" s="13">
        <f>P575</f>
        <v>0</v>
      </c>
      <c r="Q574" s="87">
        <f t="shared" si="126"/>
        <v>65.5</v>
      </c>
      <c r="R574" s="13">
        <f>R575</f>
        <v>0</v>
      </c>
      <c r="S574" s="87">
        <f t="shared" si="125"/>
        <v>65.5</v>
      </c>
    </row>
    <row r="575" spans="1:19" s="94" customFormat="1" ht="33">
      <c r="A575" s="62" t="str">
        <f ca="1">IF(ISERROR(MATCH(F575,Код_КВР,0)),"",INDIRECT(ADDRESS(MATCH(F575,Код_КВР,0)+1,2,,,"КВР")))</f>
        <v>Предоставление субсидий бюджетным, автономным учреждениям и иным некоммерческим организациям</v>
      </c>
      <c r="B575" s="115">
        <v>805</v>
      </c>
      <c r="C575" s="8" t="s">
        <v>224</v>
      </c>
      <c r="D575" s="8" t="s">
        <v>221</v>
      </c>
      <c r="E575" s="115" t="s">
        <v>636</v>
      </c>
      <c r="F575" s="115">
        <v>600</v>
      </c>
      <c r="G575" s="70"/>
      <c r="H575" s="70"/>
      <c r="I575" s="70"/>
      <c r="J575" s="70"/>
      <c r="K575" s="87"/>
      <c r="L575" s="13"/>
      <c r="M575" s="87"/>
      <c r="N575" s="13">
        <f>N576</f>
        <v>65.5</v>
      </c>
      <c r="O575" s="87">
        <f t="shared" si="113"/>
        <v>65.5</v>
      </c>
      <c r="P575" s="13">
        <f>P576</f>
        <v>0</v>
      </c>
      <c r="Q575" s="87">
        <f t="shared" si="126"/>
        <v>65.5</v>
      </c>
      <c r="R575" s="13">
        <f>R576</f>
        <v>0</v>
      </c>
      <c r="S575" s="87">
        <f t="shared" si="125"/>
        <v>65.5</v>
      </c>
    </row>
    <row r="576" spans="1:19" s="94" customFormat="1" ht="12.75">
      <c r="A576" s="62" t="str">
        <f ca="1">IF(ISERROR(MATCH(F576,Код_КВР,0)),"",INDIRECT(ADDRESS(MATCH(F576,Код_КВР,0)+1,2,,,"КВР")))</f>
        <v>Субсидии бюджетным учреждениям</v>
      </c>
      <c r="B576" s="115">
        <v>805</v>
      </c>
      <c r="C576" s="8" t="s">
        <v>224</v>
      </c>
      <c r="D576" s="8" t="s">
        <v>221</v>
      </c>
      <c r="E576" s="115" t="s">
        <v>636</v>
      </c>
      <c r="F576" s="115">
        <v>610</v>
      </c>
      <c r="G576" s="70"/>
      <c r="H576" s="70"/>
      <c r="I576" s="70"/>
      <c r="J576" s="70"/>
      <c r="K576" s="87"/>
      <c r="L576" s="13"/>
      <c r="M576" s="87"/>
      <c r="N576" s="13">
        <f>N577</f>
        <v>65.5</v>
      </c>
      <c r="O576" s="87">
        <f t="shared" si="113"/>
        <v>65.5</v>
      </c>
      <c r="P576" s="13">
        <f>P577</f>
        <v>0</v>
      </c>
      <c r="Q576" s="87">
        <f t="shared" si="126"/>
        <v>65.5</v>
      </c>
      <c r="R576" s="13">
        <f>R577</f>
        <v>0</v>
      </c>
      <c r="S576" s="87">
        <f t="shared" si="125"/>
        <v>65.5</v>
      </c>
    </row>
    <row r="577" spans="1:19" s="94" customFormat="1" ht="23.25" customHeight="1">
      <c r="A577" s="62" t="str">
        <f ca="1">IF(ISERROR(MATCH(F577,Код_КВР,0)),"",INDIRECT(ADDRESS(MATCH(F577,Код_КВР,0)+1,2,,,"КВР")))</f>
        <v>Субсидии бюджетным учреждениям на иные цели</v>
      </c>
      <c r="B577" s="115">
        <v>805</v>
      </c>
      <c r="C577" s="8" t="s">
        <v>224</v>
      </c>
      <c r="D577" s="8" t="s">
        <v>221</v>
      </c>
      <c r="E577" s="115" t="s">
        <v>636</v>
      </c>
      <c r="F577" s="115">
        <v>612</v>
      </c>
      <c r="G577" s="70"/>
      <c r="H577" s="70"/>
      <c r="I577" s="70"/>
      <c r="J577" s="70"/>
      <c r="K577" s="87"/>
      <c r="L577" s="13"/>
      <c r="M577" s="87"/>
      <c r="N577" s="13">
        <v>65.5</v>
      </c>
      <c r="O577" s="87">
        <f t="shared" si="113"/>
        <v>65.5</v>
      </c>
      <c r="P577" s="13"/>
      <c r="Q577" s="87">
        <f t="shared" si="126"/>
        <v>65.5</v>
      </c>
      <c r="R577" s="13"/>
      <c r="S577" s="87">
        <f t="shared" si="125"/>
        <v>65.5</v>
      </c>
    </row>
    <row r="578" spans="1:19" ht="12.75">
      <c r="A578" s="62" t="str">
        <f ca="1">IF(ISERROR(MATCH(C578,Код_Раздел,0)),"",INDIRECT(ADDRESS(MATCH(C578,Код_Раздел,0)+1,2,,,"Раздел")))</f>
        <v>Образование</v>
      </c>
      <c r="B578" s="115">
        <v>805</v>
      </c>
      <c r="C578" s="8" t="s">
        <v>203</v>
      </c>
      <c r="D578" s="8"/>
      <c r="E578" s="115"/>
      <c r="F578" s="115"/>
      <c r="G578" s="70">
        <f>G579+G619+G678+G694</f>
        <v>3015136.3</v>
      </c>
      <c r="H578" s="70">
        <f>H579+H619+H678+H694</f>
        <v>0</v>
      </c>
      <c r="I578" s="70">
        <f t="shared" si="120"/>
        <v>3015136.3</v>
      </c>
      <c r="J578" s="70">
        <f>J579+J619+J678+J694</f>
        <v>37566</v>
      </c>
      <c r="K578" s="87">
        <f t="shared" si="118"/>
        <v>3052702.3</v>
      </c>
      <c r="L578" s="13">
        <f>L579+L619+L678+L694</f>
        <v>-505</v>
      </c>
      <c r="M578" s="87">
        <f t="shared" si="112"/>
        <v>3052197.3</v>
      </c>
      <c r="N578" s="13">
        <f>N579+N619+N678+N694</f>
        <v>1917.5</v>
      </c>
      <c r="O578" s="87">
        <f t="shared" si="113"/>
        <v>3054114.8</v>
      </c>
      <c r="P578" s="13">
        <f>P579+P619+P678+P694</f>
        <v>10</v>
      </c>
      <c r="Q578" s="87">
        <f t="shared" si="126"/>
        <v>3054124.8</v>
      </c>
      <c r="R578" s="13">
        <f>R579+R619+R678+R694</f>
        <v>2401.6000000000004</v>
      </c>
      <c r="S578" s="87">
        <f t="shared" si="125"/>
        <v>3056526.4</v>
      </c>
    </row>
    <row r="579" spans="1:19" ht="12.75">
      <c r="A579" s="12" t="s">
        <v>266</v>
      </c>
      <c r="B579" s="115">
        <v>805</v>
      </c>
      <c r="C579" s="8" t="s">
        <v>203</v>
      </c>
      <c r="D579" s="8" t="s">
        <v>221</v>
      </c>
      <c r="E579" s="115"/>
      <c r="F579" s="115"/>
      <c r="G579" s="70">
        <f>G580</f>
        <v>1310375.8</v>
      </c>
      <c r="H579" s="70">
        <f>H580</f>
        <v>0</v>
      </c>
      <c r="I579" s="70">
        <f t="shared" si="120"/>
        <v>1310375.8</v>
      </c>
      <c r="J579" s="70">
        <f>J580+J611</f>
        <v>44229.299999999996</v>
      </c>
      <c r="K579" s="87">
        <f>I579+J579</f>
        <v>1354605.1</v>
      </c>
      <c r="L579" s="13">
        <f>L580+L611</f>
        <v>-167.8</v>
      </c>
      <c r="M579" s="87">
        <f t="shared" si="112"/>
        <v>1354437.3</v>
      </c>
      <c r="N579" s="13">
        <f>N580+N611</f>
        <v>-2500</v>
      </c>
      <c r="O579" s="87">
        <f t="shared" si="113"/>
        <v>1351937.3</v>
      </c>
      <c r="P579" s="13">
        <f>P580+P611</f>
        <v>0</v>
      </c>
      <c r="Q579" s="87">
        <f t="shared" si="126"/>
        <v>1351937.3</v>
      </c>
      <c r="R579" s="13">
        <f>R580+R611</f>
        <v>2892.8</v>
      </c>
      <c r="S579" s="87">
        <f t="shared" si="125"/>
        <v>1354830.1</v>
      </c>
    </row>
    <row r="580" spans="1:19" ht="12.75">
      <c r="A580" s="62" t="str">
        <f ca="1">IF(ISERROR(MATCH(E580,Код_КЦСР,0)),"",INDIRECT(ADDRESS(MATCH(E580,Код_КЦСР,0)+1,2,,,"КЦСР")))</f>
        <v>Муниципальная программа «Развитие образования» на 2013-2022 годы</v>
      </c>
      <c r="B580" s="115">
        <v>805</v>
      </c>
      <c r="C580" s="8" t="s">
        <v>203</v>
      </c>
      <c r="D580" s="8" t="s">
        <v>221</v>
      </c>
      <c r="E580" s="115" t="s">
        <v>279</v>
      </c>
      <c r="F580" s="115"/>
      <c r="G580" s="70">
        <f>G581+G600</f>
        <v>1310375.8</v>
      </c>
      <c r="H580" s="70">
        <f>H581+H600</f>
        <v>0</v>
      </c>
      <c r="I580" s="70">
        <f t="shared" si="120"/>
        <v>1310375.8</v>
      </c>
      <c r="J580" s="70">
        <f>J581+J600</f>
        <v>0</v>
      </c>
      <c r="K580" s="87">
        <f t="shared" si="118"/>
        <v>1310375.8</v>
      </c>
      <c r="L580" s="13">
        <f>L581+L600</f>
        <v>-167.8</v>
      </c>
      <c r="M580" s="87">
        <f t="shared" si="112"/>
        <v>1310208</v>
      </c>
      <c r="N580" s="13">
        <f>N581+N600</f>
        <v>-2500</v>
      </c>
      <c r="O580" s="87">
        <f t="shared" si="113"/>
        <v>1307708</v>
      </c>
      <c r="P580" s="13">
        <f>P581+P600</f>
        <v>0</v>
      </c>
      <c r="Q580" s="87">
        <f t="shared" si="126"/>
        <v>1307708</v>
      </c>
      <c r="R580" s="13">
        <f>R581+R594+R600</f>
        <v>2892.8</v>
      </c>
      <c r="S580" s="87">
        <f t="shared" si="125"/>
        <v>1310600.8</v>
      </c>
    </row>
    <row r="581" spans="1:19" ht="12.75">
      <c r="A581" s="62" t="str">
        <f ca="1">IF(ISERROR(MATCH(E581,Код_КЦСР,0)),"",INDIRECT(ADDRESS(MATCH(E581,Код_КЦСР,0)+1,2,,,"КЦСР")))</f>
        <v>Дошкольное образование</v>
      </c>
      <c r="B581" s="115">
        <v>805</v>
      </c>
      <c r="C581" s="8" t="s">
        <v>203</v>
      </c>
      <c r="D581" s="8" t="s">
        <v>221</v>
      </c>
      <c r="E581" s="115" t="s">
        <v>286</v>
      </c>
      <c r="F581" s="115"/>
      <c r="G581" s="70">
        <f>G582+G588</f>
        <v>1304089.6</v>
      </c>
      <c r="H581" s="70">
        <f>H582+H588</f>
        <v>0</v>
      </c>
      <c r="I581" s="70">
        <f t="shared" si="120"/>
        <v>1304089.6</v>
      </c>
      <c r="J581" s="70">
        <f>J582+J588</f>
        <v>0</v>
      </c>
      <c r="K581" s="87">
        <f t="shared" si="118"/>
        <v>1304089.6</v>
      </c>
      <c r="L581" s="13">
        <f>L582+L588</f>
        <v>-167.8</v>
      </c>
      <c r="M581" s="87">
        <f aca="true" t="shared" si="127" ref="M581:M654">K581+L581</f>
        <v>1303921.8</v>
      </c>
      <c r="N581" s="13">
        <f>N582+N588</f>
        <v>-2500</v>
      </c>
      <c r="O581" s="87">
        <f aca="true" t="shared" si="128" ref="O581:O654">M581+N581</f>
        <v>1301421.8</v>
      </c>
      <c r="P581" s="13">
        <f>P582+P588</f>
        <v>0</v>
      </c>
      <c r="Q581" s="87">
        <f t="shared" si="126"/>
        <v>1301421.8</v>
      </c>
      <c r="R581" s="13">
        <f>R582+R588</f>
        <v>0</v>
      </c>
      <c r="S581" s="87">
        <f t="shared" si="125"/>
        <v>1301421.8</v>
      </c>
    </row>
    <row r="582" spans="1:19" ht="51.75" customHeight="1">
      <c r="A582" s="62" t="str">
        <f ca="1">IF(ISERROR(MATCH(E582,Код_КЦСР,0)),"",INDIRECT(ADDRESS(MATCH(E582,Код_КЦСР,0)+1,2,,,"КЦСР")))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82" s="115">
        <v>805</v>
      </c>
      <c r="C582" s="8" t="s">
        <v>203</v>
      </c>
      <c r="D582" s="8" t="s">
        <v>221</v>
      </c>
      <c r="E582" s="115" t="s">
        <v>287</v>
      </c>
      <c r="F582" s="115"/>
      <c r="G582" s="70">
        <f>G583</f>
        <v>242839.90000000002</v>
      </c>
      <c r="H582" s="70">
        <f>H583</f>
        <v>0</v>
      </c>
      <c r="I582" s="70">
        <f t="shared" si="120"/>
        <v>242839.90000000002</v>
      </c>
      <c r="J582" s="70">
        <f>J583</f>
        <v>0</v>
      </c>
      <c r="K582" s="87">
        <f t="shared" si="118"/>
        <v>242839.90000000002</v>
      </c>
      <c r="L582" s="13">
        <f>L583</f>
        <v>-167.8</v>
      </c>
      <c r="M582" s="87">
        <f t="shared" si="127"/>
        <v>242672.10000000003</v>
      </c>
      <c r="N582" s="13">
        <f>N583</f>
        <v>-2500</v>
      </c>
      <c r="O582" s="87">
        <f t="shared" si="128"/>
        <v>240172.10000000003</v>
      </c>
      <c r="P582" s="13">
        <f>P583</f>
        <v>0</v>
      </c>
      <c r="Q582" s="87">
        <f t="shared" si="126"/>
        <v>240172.10000000003</v>
      </c>
      <c r="R582" s="13">
        <f>R583</f>
        <v>0</v>
      </c>
      <c r="S582" s="87">
        <f t="shared" si="125"/>
        <v>240172.10000000003</v>
      </c>
    </row>
    <row r="583" spans="1:19" ht="33">
      <c r="A583" s="62" t="str">
        <f ca="1">IF(ISERROR(MATCH(F583,Код_КВР,0)),"",INDIRECT(ADDRESS(MATCH(F583,Код_КВР,0)+1,2,,,"КВР")))</f>
        <v>Предоставление субсидий бюджетным, автономным учреждениям и иным некоммерческим организациям</v>
      </c>
      <c r="B583" s="115">
        <v>805</v>
      </c>
      <c r="C583" s="8" t="s">
        <v>203</v>
      </c>
      <c r="D583" s="8" t="s">
        <v>221</v>
      </c>
      <c r="E583" s="115" t="s">
        <v>287</v>
      </c>
      <c r="F583" s="115">
        <v>600</v>
      </c>
      <c r="G583" s="70">
        <f>G584+G586</f>
        <v>242839.90000000002</v>
      </c>
      <c r="H583" s="70">
        <f>H584+H586</f>
        <v>0</v>
      </c>
      <c r="I583" s="70">
        <f t="shared" si="120"/>
        <v>242839.90000000002</v>
      </c>
      <c r="J583" s="70">
        <f>J584+J586</f>
        <v>0</v>
      </c>
      <c r="K583" s="87">
        <f t="shared" si="118"/>
        <v>242839.90000000002</v>
      </c>
      <c r="L583" s="13">
        <f>L584+L586</f>
        <v>-167.8</v>
      </c>
      <c r="M583" s="87">
        <f t="shared" si="127"/>
        <v>242672.10000000003</v>
      </c>
      <c r="N583" s="13">
        <f>N584+N586</f>
        <v>-2500</v>
      </c>
      <c r="O583" s="87">
        <f t="shared" si="128"/>
        <v>240172.10000000003</v>
      </c>
      <c r="P583" s="13">
        <f>P584+P586</f>
        <v>0</v>
      </c>
      <c r="Q583" s="87">
        <f t="shared" si="126"/>
        <v>240172.10000000003</v>
      </c>
      <c r="R583" s="13">
        <f>R584+R586</f>
        <v>0</v>
      </c>
      <c r="S583" s="87">
        <f t="shared" si="125"/>
        <v>240172.10000000003</v>
      </c>
    </row>
    <row r="584" spans="1:19" ht="12.75">
      <c r="A584" s="62" t="str">
        <f ca="1">IF(ISERROR(MATCH(F584,Код_КВР,0)),"",INDIRECT(ADDRESS(MATCH(F584,Код_КВР,0)+1,2,,,"КВР")))</f>
        <v>Субсидии бюджетным учреждениям</v>
      </c>
      <c r="B584" s="115">
        <v>805</v>
      </c>
      <c r="C584" s="8" t="s">
        <v>203</v>
      </c>
      <c r="D584" s="8" t="s">
        <v>221</v>
      </c>
      <c r="E584" s="115" t="s">
        <v>287</v>
      </c>
      <c r="F584" s="115">
        <v>610</v>
      </c>
      <c r="G584" s="70">
        <f>G585</f>
        <v>221390.7</v>
      </c>
      <c r="H584" s="70">
        <f>H585</f>
        <v>0</v>
      </c>
      <c r="I584" s="70">
        <f t="shared" si="120"/>
        <v>221390.7</v>
      </c>
      <c r="J584" s="70">
        <f>J585</f>
        <v>0</v>
      </c>
      <c r="K584" s="87">
        <f t="shared" si="118"/>
        <v>221390.7</v>
      </c>
      <c r="L584" s="13">
        <f>L585</f>
        <v>0</v>
      </c>
      <c r="M584" s="87">
        <f t="shared" si="127"/>
        <v>221390.7</v>
      </c>
      <c r="N584" s="13">
        <f>N585</f>
        <v>-2500</v>
      </c>
      <c r="O584" s="87">
        <f t="shared" si="128"/>
        <v>218890.7</v>
      </c>
      <c r="P584" s="13">
        <f>P585</f>
        <v>0</v>
      </c>
      <c r="Q584" s="87">
        <f t="shared" si="126"/>
        <v>218890.7</v>
      </c>
      <c r="R584" s="13">
        <f>R585</f>
        <v>0</v>
      </c>
      <c r="S584" s="87">
        <f t="shared" si="125"/>
        <v>218890.7</v>
      </c>
    </row>
    <row r="585" spans="1:19" ht="49.5">
      <c r="A585" s="62" t="str">
        <f ca="1">IF(ISERROR(MATCH(F585,Код_КВР,0)),"",INDIRECT(ADDRESS(MATCH(F585,Код_КВР,0)+1,2,,,"КВР")))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5" s="115">
        <v>805</v>
      </c>
      <c r="C585" s="8" t="s">
        <v>203</v>
      </c>
      <c r="D585" s="8" t="s">
        <v>221</v>
      </c>
      <c r="E585" s="115" t="s">
        <v>287</v>
      </c>
      <c r="F585" s="115">
        <v>611</v>
      </c>
      <c r="G585" s="70">
        <v>221390.7</v>
      </c>
      <c r="H585" s="65"/>
      <c r="I585" s="70">
        <f t="shared" si="120"/>
        <v>221390.7</v>
      </c>
      <c r="J585" s="65"/>
      <c r="K585" s="87">
        <f t="shared" si="118"/>
        <v>221390.7</v>
      </c>
      <c r="L585" s="87"/>
      <c r="M585" s="87">
        <f t="shared" si="127"/>
        <v>221390.7</v>
      </c>
      <c r="N585" s="87">
        <v>-2500</v>
      </c>
      <c r="O585" s="87">
        <f t="shared" si="128"/>
        <v>218890.7</v>
      </c>
      <c r="P585" s="87"/>
      <c r="Q585" s="87">
        <f t="shared" si="126"/>
        <v>218890.7</v>
      </c>
      <c r="R585" s="87"/>
      <c r="S585" s="87">
        <f t="shared" si="125"/>
        <v>218890.7</v>
      </c>
    </row>
    <row r="586" spans="1:19" ht="12.75">
      <c r="A586" s="62" t="str">
        <f ca="1">IF(ISERROR(MATCH(F586,Код_КВР,0)),"",INDIRECT(ADDRESS(MATCH(F586,Код_КВР,0)+1,2,,,"КВР")))</f>
        <v>Субсидии автономным учреждениям</v>
      </c>
      <c r="B586" s="115">
        <v>805</v>
      </c>
      <c r="C586" s="8" t="s">
        <v>203</v>
      </c>
      <c r="D586" s="8" t="s">
        <v>221</v>
      </c>
      <c r="E586" s="115" t="s">
        <v>287</v>
      </c>
      <c r="F586" s="115">
        <v>620</v>
      </c>
      <c r="G586" s="70">
        <f>G587</f>
        <v>21449.2</v>
      </c>
      <c r="H586" s="70">
        <f>H587</f>
        <v>0</v>
      </c>
      <c r="I586" s="70">
        <f t="shared" si="120"/>
        <v>21449.2</v>
      </c>
      <c r="J586" s="70">
        <f>J587</f>
        <v>0</v>
      </c>
      <c r="K586" s="87">
        <f t="shared" si="118"/>
        <v>21449.2</v>
      </c>
      <c r="L586" s="13">
        <f>L587</f>
        <v>-167.8</v>
      </c>
      <c r="M586" s="87">
        <f t="shared" si="127"/>
        <v>21281.4</v>
      </c>
      <c r="N586" s="13">
        <f>N587</f>
        <v>0</v>
      </c>
      <c r="O586" s="87">
        <f t="shared" si="128"/>
        <v>21281.4</v>
      </c>
      <c r="P586" s="13">
        <f>P587</f>
        <v>0</v>
      </c>
      <c r="Q586" s="87">
        <f t="shared" si="126"/>
        <v>21281.4</v>
      </c>
      <c r="R586" s="13">
        <f>R587</f>
        <v>0</v>
      </c>
      <c r="S586" s="87">
        <f t="shared" si="125"/>
        <v>21281.4</v>
      </c>
    </row>
    <row r="587" spans="1:19" ht="49.5">
      <c r="A587" s="62" t="str">
        <f ca="1">IF(ISERROR(MATCH(F587,Код_КВР,0)),"",INDIRECT(ADDRESS(MATCH(F587,Код_КВР,0)+1,2,,,"КВР")))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87" s="115">
        <v>805</v>
      </c>
      <c r="C587" s="8" t="s">
        <v>203</v>
      </c>
      <c r="D587" s="8" t="s">
        <v>221</v>
      </c>
      <c r="E587" s="115" t="s">
        <v>287</v>
      </c>
      <c r="F587" s="115">
        <v>621</v>
      </c>
      <c r="G587" s="70">
        <v>21449.2</v>
      </c>
      <c r="H587" s="65"/>
      <c r="I587" s="70">
        <f t="shared" si="120"/>
        <v>21449.2</v>
      </c>
      <c r="J587" s="65"/>
      <c r="K587" s="87">
        <f t="shared" si="118"/>
        <v>21449.2</v>
      </c>
      <c r="L587" s="87">
        <v>-167.8</v>
      </c>
      <c r="M587" s="87">
        <f t="shared" si="127"/>
        <v>21281.4</v>
      </c>
      <c r="N587" s="87"/>
      <c r="O587" s="87">
        <f t="shared" si="128"/>
        <v>21281.4</v>
      </c>
      <c r="P587" s="87"/>
      <c r="Q587" s="87">
        <f t="shared" si="126"/>
        <v>21281.4</v>
      </c>
      <c r="R587" s="87"/>
      <c r="S587" s="87">
        <f t="shared" si="125"/>
        <v>21281.4</v>
      </c>
    </row>
    <row r="588" spans="1:19" ht="49.5">
      <c r="A588" s="62" t="str">
        <f ca="1">IF(ISERROR(MATCH(E588,Код_КЦСР,0)),"",INDIRECT(ADDRESS(MATCH(E588,Код_КЦСР,0)+1,2,,,"КЦСР")))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88" s="115">
        <v>805</v>
      </c>
      <c r="C588" s="8" t="s">
        <v>203</v>
      </c>
      <c r="D588" s="8" t="s">
        <v>221</v>
      </c>
      <c r="E588" s="115" t="s">
        <v>435</v>
      </c>
      <c r="F588" s="115"/>
      <c r="G588" s="70">
        <f>G589</f>
        <v>1061249.7</v>
      </c>
      <c r="H588" s="70">
        <f>H589</f>
        <v>0</v>
      </c>
      <c r="I588" s="70">
        <f t="shared" si="120"/>
        <v>1061249.7</v>
      </c>
      <c r="J588" s="70">
        <f>J589</f>
        <v>0</v>
      </c>
      <c r="K588" s="87">
        <f t="shared" si="118"/>
        <v>1061249.7</v>
      </c>
      <c r="L588" s="13">
        <f>L589</f>
        <v>0</v>
      </c>
      <c r="M588" s="87">
        <f t="shared" si="127"/>
        <v>1061249.7</v>
      </c>
      <c r="N588" s="13">
        <f>N589</f>
        <v>0</v>
      </c>
      <c r="O588" s="87">
        <f t="shared" si="128"/>
        <v>1061249.7</v>
      </c>
      <c r="P588" s="13">
        <f>P589</f>
        <v>0</v>
      </c>
      <c r="Q588" s="87">
        <f t="shared" si="126"/>
        <v>1061249.7</v>
      </c>
      <c r="R588" s="13">
        <f>R589</f>
        <v>0</v>
      </c>
      <c r="S588" s="87">
        <f t="shared" si="125"/>
        <v>1061249.7</v>
      </c>
    </row>
    <row r="589" spans="1:19" ht="33">
      <c r="A589" s="62" t="str">
        <f ca="1">IF(ISERROR(MATCH(F589,Код_КВР,0)),"",INDIRECT(ADDRESS(MATCH(F589,Код_КВР,0)+1,2,,,"КВР")))</f>
        <v>Предоставление субсидий бюджетным, автономным учреждениям и иным некоммерческим организациям</v>
      </c>
      <c r="B589" s="115">
        <v>805</v>
      </c>
      <c r="C589" s="8" t="s">
        <v>203</v>
      </c>
      <c r="D589" s="8" t="s">
        <v>221</v>
      </c>
      <c r="E589" s="115" t="s">
        <v>435</v>
      </c>
      <c r="F589" s="115">
        <v>600</v>
      </c>
      <c r="G589" s="70">
        <f>G590+G592</f>
        <v>1061249.7</v>
      </c>
      <c r="H589" s="70">
        <f>H590+H592</f>
        <v>0</v>
      </c>
      <c r="I589" s="70">
        <f t="shared" si="120"/>
        <v>1061249.7</v>
      </c>
      <c r="J589" s="70">
        <f>J590+J592</f>
        <v>0</v>
      </c>
      <c r="K589" s="87">
        <f t="shared" si="118"/>
        <v>1061249.7</v>
      </c>
      <c r="L589" s="13">
        <f>L590+L592</f>
        <v>0</v>
      </c>
      <c r="M589" s="87">
        <f t="shared" si="127"/>
        <v>1061249.7</v>
      </c>
      <c r="N589" s="13">
        <f>N590+N592</f>
        <v>0</v>
      </c>
      <c r="O589" s="87">
        <f t="shared" si="128"/>
        <v>1061249.7</v>
      </c>
      <c r="P589" s="13">
        <f>P590+P592</f>
        <v>0</v>
      </c>
      <c r="Q589" s="87">
        <f t="shared" si="126"/>
        <v>1061249.7</v>
      </c>
      <c r="R589" s="13">
        <f>R590+R592</f>
        <v>0</v>
      </c>
      <c r="S589" s="87">
        <f t="shared" si="125"/>
        <v>1061249.7</v>
      </c>
    </row>
    <row r="590" spans="1:19" ht="12.75">
      <c r="A590" s="62" t="str">
        <f ca="1">IF(ISERROR(MATCH(F590,Код_КВР,0)),"",INDIRECT(ADDRESS(MATCH(F590,Код_КВР,0)+1,2,,,"КВР")))</f>
        <v>Субсидии бюджетным учреждениям</v>
      </c>
      <c r="B590" s="115">
        <v>805</v>
      </c>
      <c r="C590" s="8" t="s">
        <v>203</v>
      </c>
      <c r="D590" s="8" t="s">
        <v>221</v>
      </c>
      <c r="E590" s="115" t="s">
        <v>435</v>
      </c>
      <c r="F590" s="115">
        <v>610</v>
      </c>
      <c r="G590" s="70">
        <f>G591</f>
        <v>997794.8</v>
      </c>
      <c r="H590" s="70">
        <f>H591</f>
        <v>0</v>
      </c>
      <c r="I590" s="70">
        <f t="shared" si="120"/>
        <v>997794.8</v>
      </c>
      <c r="J590" s="70">
        <f>J591</f>
        <v>0</v>
      </c>
      <c r="K590" s="87">
        <f t="shared" si="118"/>
        <v>997794.8</v>
      </c>
      <c r="L590" s="13">
        <f>L591</f>
        <v>0</v>
      </c>
      <c r="M590" s="87">
        <f t="shared" si="127"/>
        <v>997794.8</v>
      </c>
      <c r="N590" s="13">
        <f>N591</f>
        <v>0</v>
      </c>
      <c r="O590" s="87">
        <f t="shared" si="128"/>
        <v>997794.8</v>
      </c>
      <c r="P590" s="13">
        <f>P591</f>
        <v>0</v>
      </c>
      <c r="Q590" s="87">
        <f t="shared" si="126"/>
        <v>997794.8</v>
      </c>
      <c r="R590" s="13">
        <f>R591</f>
        <v>0</v>
      </c>
      <c r="S590" s="87">
        <f t="shared" si="125"/>
        <v>997794.8</v>
      </c>
    </row>
    <row r="591" spans="1:19" ht="49.5">
      <c r="A591" s="62" t="str">
        <f ca="1">IF(ISERROR(MATCH(F591,Код_КВР,0)),"",INDIRECT(ADDRESS(MATCH(F591,Код_КВР,0)+1,2,,,"КВР")))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1" s="115">
        <v>805</v>
      </c>
      <c r="C591" s="8" t="s">
        <v>203</v>
      </c>
      <c r="D591" s="8" t="s">
        <v>221</v>
      </c>
      <c r="E591" s="115" t="s">
        <v>435</v>
      </c>
      <c r="F591" s="115">
        <v>611</v>
      </c>
      <c r="G591" s="70">
        <v>997794.8</v>
      </c>
      <c r="H591" s="65"/>
      <c r="I591" s="70">
        <f t="shared" si="120"/>
        <v>997794.8</v>
      </c>
      <c r="J591" s="65"/>
      <c r="K591" s="87">
        <f t="shared" si="118"/>
        <v>997794.8</v>
      </c>
      <c r="L591" s="87"/>
      <c r="M591" s="87">
        <f t="shared" si="127"/>
        <v>997794.8</v>
      </c>
      <c r="N591" s="87"/>
      <c r="O591" s="87">
        <f t="shared" si="128"/>
        <v>997794.8</v>
      </c>
      <c r="P591" s="87"/>
      <c r="Q591" s="87">
        <f t="shared" si="126"/>
        <v>997794.8</v>
      </c>
      <c r="R591" s="87"/>
      <c r="S591" s="87">
        <f t="shared" si="125"/>
        <v>997794.8</v>
      </c>
    </row>
    <row r="592" spans="1:19" ht="12.75">
      <c r="A592" s="62" t="str">
        <f ca="1">IF(ISERROR(MATCH(F592,Код_КВР,0)),"",INDIRECT(ADDRESS(MATCH(F592,Код_КВР,0)+1,2,,,"КВР")))</f>
        <v>Субсидии автономным учреждениям</v>
      </c>
      <c r="B592" s="115">
        <v>805</v>
      </c>
      <c r="C592" s="8" t="s">
        <v>203</v>
      </c>
      <c r="D592" s="8" t="s">
        <v>221</v>
      </c>
      <c r="E592" s="115" t="s">
        <v>435</v>
      </c>
      <c r="F592" s="115">
        <v>620</v>
      </c>
      <c r="G592" s="70">
        <f>G593</f>
        <v>63454.9</v>
      </c>
      <c r="H592" s="70">
        <f>H593</f>
        <v>0</v>
      </c>
      <c r="I592" s="70">
        <f t="shared" si="120"/>
        <v>63454.9</v>
      </c>
      <c r="J592" s="70">
        <f>J593</f>
        <v>0</v>
      </c>
      <c r="K592" s="87">
        <f t="shared" si="118"/>
        <v>63454.9</v>
      </c>
      <c r="L592" s="13">
        <f>L593</f>
        <v>0</v>
      </c>
      <c r="M592" s="87">
        <f t="shared" si="127"/>
        <v>63454.9</v>
      </c>
      <c r="N592" s="13">
        <f>N593</f>
        <v>0</v>
      </c>
      <c r="O592" s="87">
        <f t="shared" si="128"/>
        <v>63454.9</v>
      </c>
      <c r="P592" s="13">
        <f>P593</f>
        <v>0</v>
      </c>
      <c r="Q592" s="87">
        <f t="shared" si="126"/>
        <v>63454.9</v>
      </c>
      <c r="R592" s="13">
        <f>R593</f>
        <v>0</v>
      </c>
      <c r="S592" s="87">
        <f t="shared" si="125"/>
        <v>63454.9</v>
      </c>
    </row>
    <row r="593" spans="1:19" ht="49.5">
      <c r="A593" s="62" t="str">
        <f ca="1">IF(ISERROR(MATCH(F593,Код_КВР,0)),"",INDIRECT(ADDRESS(MATCH(F593,Код_КВР,0)+1,2,,,"КВР")))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93" s="115">
        <v>805</v>
      </c>
      <c r="C593" s="8" t="s">
        <v>203</v>
      </c>
      <c r="D593" s="8" t="s">
        <v>221</v>
      </c>
      <c r="E593" s="115" t="s">
        <v>435</v>
      </c>
      <c r="F593" s="115">
        <v>621</v>
      </c>
      <c r="G593" s="70">
        <v>63454.9</v>
      </c>
      <c r="H593" s="65"/>
      <c r="I593" s="70">
        <f t="shared" si="120"/>
        <v>63454.9</v>
      </c>
      <c r="J593" s="65"/>
      <c r="K593" s="87">
        <f t="shared" si="118"/>
        <v>63454.9</v>
      </c>
      <c r="L593" s="87"/>
      <c r="M593" s="87">
        <f t="shared" si="127"/>
        <v>63454.9</v>
      </c>
      <c r="N593" s="87"/>
      <c r="O593" s="87">
        <f t="shared" si="128"/>
        <v>63454.9</v>
      </c>
      <c r="P593" s="87"/>
      <c r="Q593" s="87">
        <f t="shared" si="126"/>
        <v>63454.9</v>
      </c>
      <c r="R593" s="87"/>
      <c r="S593" s="87">
        <f t="shared" si="125"/>
        <v>63454.9</v>
      </c>
    </row>
    <row r="594" spans="1:19" s="94" customFormat="1" ht="99">
      <c r="A594" s="62" t="str">
        <f ca="1">IF(ISERROR(MATCH(E594,Код_КЦСР,0)),"",INDIRECT(ADDRESS(MATCH(E594,Код_КЦСР,0)+1,2,,,"КЦСР")))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94" s="121">
        <v>805</v>
      </c>
      <c r="C594" s="8" t="s">
        <v>203</v>
      </c>
      <c r="D594" s="8" t="s">
        <v>221</v>
      </c>
      <c r="E594" s="121" t="s">
        <v>445</v>
      </c>
      <c r="F594" s="121"/>
      <c r="G594" s="70"/>
      <c r="H594" s="65"/>
      <c r="I594" s="70"/>
      <c r="J594" s="65"/>
      <c r="K594" s="87"/>
      <c r="L594" s="87"/>
      <c r="M594" s="87"/>
      <c r="N594" s="87"/>
      <c r="O594" s="87"/>
      <c r="P594" s="87"/>
      <c r="Q594" s="87"/>
      <c r="R594" s="87">
        <f>R595</f>
        <v>628.8</v>
      </c>
      <c r="S594" s="87">
        <f aca="true" t="shared" si="129" ref="S594:S599">Q594+R594</f>
        <v>628.8</v>
      </c>
    </row>
    <row r="595" spans="1:19" s="94" customFormat="1" ht="33">
      <c r="A595" s="62" t="str">
        <f ca="1">IF(ISERROR(MATCH(F595,Код_КВР,0)),"",INDIRECT(ADDRESS(MATCH(F595,Код_КВР,0)+1,2,,,"КВР")))</f>
        <v>Предоставление субсидий бюджетным, автономным учреждениям и иным некоммерческим организациям</v>
      </c>
      <c r="B595" s="121">
        <v>805</v>
      </c>
      <c r="C595" s="8" t="s">
        <v>203</v>
      </c>
      <c r="D595" s="8" t="s">
        <v>221</v>
      </c>
      <c r="E595" s="121" t="s">
        <v>445</v>
      </c>
      <c r="F595" s="121">
        <v>600</v>
      </c>
      <c r="G595" s="70"/>
      <c r="H595" s="65"/>
      <c r="I595" s="70"/>
      <c r="J595" s="65"/>
      <c r="K595" s="87"/>
      <c r="L595" s="87"/>
      <c r="M595" s="87"/>
      <c r="N595" s="87"/>
      <c r="O595" s="87"/>
      <c r="P595" s="87"/>
      <c r="Q595" s="87"/>
      <c r="R595" s="87">
        <f>R596+R598</f>
        <v>628.8</v>
      </c>
      <c r="S595" s="87">
        <f t="shared" si="129"/>
        <v>628.8</v>
      </c>
    </row>
    <row r="596" spans="1:19" s="94" customFormat="1" ht="12.75">
      <c r="A596" s="62" t="str">
        <f ca="1">IF(ISERROR(MATCH(F596,Код_КВР,0)),"",INDIRECT(ADDRESS(MATCH(F596,Код_КВР,0)+1,2,,,"КВР")))</f>
        <v>Субсидии бюджетным учреждениям</v>
      </c>
      <c r="B596" s="121">
        <v>805</v>
      </c>
      <c r="C596" s="8" t="s">
        <v>203</v>
      </c>
      <c r="D596" s="8" t="s">
        <v>221</v>
      </c>
      <c r="E596" s="121" t="s">
        <v>445</v>
      </c>
      <c r="F596" s="121">
        <v>610</v>
      </c>
      <c r="G596" s="70"/>
      <c r="H596" s="65"/>
      <c r="I596" s="70"/>
      <c r="J596" s="65"/>
      <c r="K596" s="87"/>
      <c r="L596" s="87"/>
      <c r="M596" s="87"/>
      <c r="N596" s="87"/>
      <c r="O596" s="87"/>
      <c r="P596" s="87"/>
      <c r="Q596" s="87"/>
      <c r="R596" s="87">
        <f>R597</f>
        <v>528.8</v>
      </c>
      <c r="S596" s="87">
        <f t="shared" si="129"/>
        <v>528.8</v>
      </c>
    </row>
    <row r="597" spans="1:19" s="94" customFormat="1" ht="12.75">
      <c r="A597" s="62" t="str">
        <f ca="1">IF(ISERROR(MATCH(F597,Код_КВР,0)),"",INDIRECT(ADDRESS(MATCH(F597,Код_КВР,0)+1,2,,,"КВР")))</f>
        <v>Субсидии бюджетным учреждениям на иные цели</v>
      </c>
      <c r="B597" s="121">
        <v>805</v>
      </c>
      <c r="C597" s="8" t="s">
        <v>203</v>
      </c>
      <c r="D597" s="8" t="s">
        <v>221</v>
      </c>
      <c r="E597" s="121" t="s">
        <v>445</v>
      </c>
      <c r="F597" s="121">
        <v>612</v>
      </c>
      <c r="G597" s="70"/>
      <c r="H597" s="65"/>
      <c r="I597" s="70"/>
      <c r="J597" s="65"/>
      <c r="K597" s="87"/>
      <c r="L597" s="87"/>
      <c r="M597" s="87"/>
      <c r="N597" s="87"/>
      <c r="O597" s="87"/>
      <c r="P597" s="87"/>
      <c r="Q597" s="87"/>
      <c r="R597" s="87">
        <v>528.8</v>
      </c>
      <c r="S597" s="87">
        <f t="shared" si="129"/>
        <v>528.8</v>
      </c>
    </row>
    <row r="598" spans="1:19" s="94" customFormat="1" ht="12.75">
      <c r="A598" s="62" t="str">
        <f ca="1">IF(ISERROR(MATCH(F598,Код_КВР,0)),"",INDIRECT(ADDRESS(MATCH(F598,Код_КВР,0)+1,2,,,"КВР")))</f>
        <v>Субсидии автономным учреждениям</v>
      </c>
      <c r="B598" s="121">
        <v>805</v>
      </c>
      <c r="C598" s="8" t="s">
        <v>203</v>
      </c>
      <c r="D598" s="8" t="s">
        <v>221</v>
      </c>
      <c r="E598" s="121" t="s">
        <v>445</v>
      </c>
      <c r="F598" s="121">
        <v>620</v>
      </c>
      <c r="G598" s="70"/>
      <c r="H598" s="65"/>
      <c r="I598" s="70"/>
      <c r="J598" s="65"/>
      <c r="K598" s="87"/>
      <c r="L598" s="87"/>
      <c r="M598" s="87"/>
      <c r="N598" s="87"/>
      <c r="O598" s="87"/>
      <c r="P598" s="87"/>
      <c r="Q598" s="87"/>
      <c r="R598" s="87">
        <f>R599</f>
        <v>100</v>
      </c>
      <c r="S598" s="87">
        <f t="shared" si="129"/>
        <v>100</v>
      </c>
    </row>
    <row r="599" spans="1:19" s="94" customFormat="1" ht="12.75">
      <c r="A599" s="62" t="str">
        <f ca="1">IF(ISERROR(MATCH(F599,Код_КВР,0)),"",INDIRECT(ADDRESS(MATCH(F599,Код_КВР,0)+1,2,,,"КВР")))</f>
        <v>Субсидии автономным учреждениям на иные цели</v>
      </c>
      <c r="B599" s="121">
        <v>805</v>
      </c>
      <c r="C599" s="8" t="s">
        <v>203</v>
      </c>
      <c r="D599" s="8" t="s">
        <v>221</v>
      </c>
      <c r="E599" s="121" t="s">
        <v>445</v>
      </c>
      <c r="F599" s="121">
        <v>622</v>
      </c>
      <c r="G599" s="70"/>
      <c r="H599" s="65"/>
      <c r="I599" s="70"/>
      <c r="J599" s="65"/>
      <c r="K599" s="87"/>
      <c r="L599" s="87"/>
      <c r="M599" s="87"/>
      <c r="N599" s="87"/>
      <c r="O599" s="87"/>
      <c r="P599" s="87"/>
      <c r="Q599" s="87"/>
      <c r="R599" s="87">
        <v>100</v>
      </c>
      <c r="S599" s="87">
        <f t="shared" si="129"/>
        <v>100</v>
      </c>
    </row>
    <row r="600" spans="1:19" ht="12.75">
      <c r="A600" s="62" t="str">
        <f ca="1">IF(ISERROR(MATCH(E600,Код_КЦСР,0)),"",INDIRECT(ADDRESS(MATCH(E600,Код_КЦСР,0)+1,2,,,"КЦСР")))</f>
        <v>Кадровое обеспечение муниципальной системы образования</v>
      </c>
      <c r="B600" s="115">
        <v>805</v>
      </c>
      <c r="C600" s="8" t="s">
        <v>203</v>
      </c>
      <c r="D600" s="8" t="s">
        <v>221</v>
      </c>
      <c r="E600" s="115" t="s">
        <v>299</v>
      </c>
      <c r="F600" s="115"/>
      <c r="G600" s="70">
        <f>G601+G606</f>
        <v>6286.2</v>
      </c>
      <c r="H600" s="70">
        <f>H601+H606</f>
        <v>0</v>
      </c>
      <c r="I600" s="70">
        <f t="shared" si="120"/>
        <v>6286.2</v>
      </c>
      <c r="J600" s="70">
        <f>J601+J606</f>
        <v>0</v>
      </c>
      <c r="K600" s="87">
        <f t="shared" si="118"/>
        <v>6286.2</v>
      </c>
      <c r="L600" s="13">
        <f>L601+L606</f>
        <v>0</v>
      </c>
      <c r="M600" s="87">
        <f t="shared" si="127"/>
        <v>6286.2</v>
      </c>
      <c r="N600" s="13">
        <f>N601+N606</f>
        <v>0</v>
      </c>
      <c r="O600" s="87">
        <f t="shared" si="128"/>
        <v>6286.2</v>
      </c>
      <c r="P600" s="13">
        <f>P601+P606</f>
        <v>0</v>
      </c>
      <c r="Q600" s="87">
        <f t="shared" si="126"/>
        <v>6286.2</v>
      </c>
      <c r="R600" s="13">
        <f>R601+R606</f>
        <v>2264</v>
      </c>
      <c r="S600" s="87">
        <f t="shared" si="125"/>
        <v>8550.2</v>
      </c>
    </row>
    <row r="601" spans="1:19" ht="33">
      <c r="A601" s="62" t="str">
        <f ca="1">IF(ISERROR(MATCH(E601,Код_КЦСР,0)),"",INDIRECT(ADDRESS(MATCH(E601,Код_КЦСР,0)+1,2,,,"КЦСР")))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601" s="115">
        <v>805</v>
      </c>
      <c r="C601" s="8" t="s">
        <v>203</v>
      </c>
      <c r="D601" s="8" t="s">
        <v>221</v>
      </c>
      <c r="E601" s="115" t="s">
        <v>301</v>
      </c>
      <c r="F601" s="115"/>
      <c r="G601" s="70">
        <f aca="true" t="shared" si="130" ref="G601:R604">G602</f>
        <v>130.2</v>
      </c>
      <c r="H601" s="70">
        <f t="shared" si="130"/>
        <v>0</v>
      </c>
      <c r="I601" s="70">
        <f t="shared" si="120"/>
        <v>130.2</v>
      </c>
      <c r="J601" s="70">
        <f t="shared" si="130"/>
        <v>0</v>
      </c>
      <c r="K601" s="87">
        <f t="shared" si="118"/>
        <v>130.2</v>
      </c>
      <c r="L601" s="13">
        <f t="shared" si="130"/>
        <v>0</v>
      </c>
      <c r="M601" s="87">
        <f t="shared" si="127"/>
        <v>130.2</v>
      </c>
      <c r="N601" s="13">
        <f t="shared" si="130"/>
        <v>0</v>
      </c>
      <c r="O601" s="87">
        <f t="shared" si="128"/>
        <v>130.2</v>
      </c>
      <c r="P601" s="13">
        <f t="shared" si="130"/>
        <v>0</v>
      </c>
      <c r="Q601" s="87">
        <f t="shared" si="126"/>
        <v>130.2</v>
      </c>
      <c r="R601" s="13">
        <f t="shared" si="130"/>
        <v>0</v>
      </c>
      <c r="S601" s="87">
        <f t="shared" si="125"/>
        <v>130.2</v>
      </c>
    </row>
    <row r="602" spans="1:19" ht="51.75" customHeight="1">
      <c r="A602" s="62" t="str">
        <f ca="1">IF(ISERROR(MATCH(E602,Код_КЦСР,0)),"",INDIRECT(ADDRESS(MATCH(E602,Код_КЦСР,0)+1,2,,,"КЦСР")))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602" s="115">
        <v>805</v>
      </c>
      <c r="C602" s="8" t="s">
        <v>203</v>
      </c>
      <c r="D602" s="8" t="s">
        <v>221</v>
      </c>
      <c r="E602" s="115" t="s">
        <v>303</v>
      </c>
      <c r="F602" s="115"/>
      <c r="G602" s="70">
        <f t="shared" si="130"/>
        <v>130.2</v>
      </c>
      <c r="H602" s="70">
        <f t="shared" si="130"/>
        <v>0</v>
      </c>
      <c r="I602" s="70">
        <f t="shared" si="120"/>
        <v>130.2</v>
      </c>
      <c r="J602" s="70">
        <f t="shared" si="130"/>
        <v>0</v>
      </c>
      <c r="K602" s="87">
        <f t="shared" si="118"/>
        <v>130.2</v>
      </c>
      <c r="L602" s="13">
        <f t="shared" si="130"/>
        <v>0</v>
      </c>
      <c r="M602" s="87">
        <f t="shared" si="127"/>
        <v>130.2</v>
      </c>
      <c r="N602" s="13">
        <f t="shared" si="130"/>
        <v>0</v>
      </c>
      <c r="O602" s="87">
        <f t="shared" si="128"/>
        <v>130.2</v>
      </c>
      <c r="P602" s="13">
        <f t="shared" si="130"/>
        <v>0</v>
      </c>
      <c r="Q602" s="87">
        <f t="shared" si="126"/>
        <v>130.2</v>
      </c>
      <c r="R602" s="13">
        <f t="shared" si="130"/>
        <v>0</v>
      </c>
      <c r="S602" s="87">
        <f t="shared" si="125"/>
        <v>130.2</v>
      </c>
    </row>
    <row r="603" spans="1:19" ht="12.75">
      <c r="A603" s="62" t="str">
        <f ca="1">IF(ISERROR(MATCH(F603,Код_КВР,0)),"",INDIRECT(ADDRESS(MATCH(F603,Код_КВР,0)+1,2,,,"КВР")))</f>
        <v>Социальное обеспечение и иные выплаты населению</v>
      </c>
      <c r="B603" s="115">
        <v>805</v>
      </c>
      <c r="C603" s="8" t="s">
        <v>203</v>
      </c>
      <c r="D603" s="8" t="s">
        <v>221</v>
      </c>
      <c r="E603" s="115" t="s">
        <v>303</v>
      </c>
      <c r="F603" s="115">
        <v>300</v>
      </c>
      <c r="G603" s="70">
        <f t="shared" si="130"/>
        <v>130.2</v>
      </c>
      <c r="H603" s="70">
        <f t="shared" si="130"/>
        <v>0</v>
      </c>
      <c r="I603" s="70">
        <f t="shared" si="120"/>
        <v>130.2</v>
      </c>
      <c r="J603" s="70">
        <f t="shared" si="130"/>
        <v>0</v>
      </c>
      <c r="K603" s="87">
        <f t="shared" si="118"/>
        <v>130.2</v>
      </c>
      <c r="L603" s="13">
        <f t="shared" si="130"/>
        <v>0</v>
      </c>
      <c r="M603" s="87">
        <f t="shared" si="127"/>
        <v>130.2</v>
      </c>
      <c r="N603" s="13">
        <f t="shared" si="130"/>
        <v>0</v>
      </c>
      <c r="O603" s="87">
        <f t="shared" si="128"/>
        <v>130.2</v>
      </c>
      <c r="P603" s="13">
        <f t="shared" si="130"/>
        <v>0</v>
      </c>
      <c r="Q603" s="87">
        <f t="shared" si="126"/>
        <v>130.2</v>
      </c>
      <c r="R603" s="13">
        <f t="shared" si="130"/>
        <v>0</v>
      </c>
      <c r="S603" s="87">
        <f t="shared" si="125"/>
        <v>130.2</v>
      </c>
    </row>
    <row r="604" spans="1:19" ht="12.75">
      <c r="A604" s="62" t="str">
        <f ca="1">IF(ISERROR(MATCH(F604,Код_КВР,0)),"",INDIRECT(ADDRESS(MATCH(F604,Код_КВР,0)+1,2,,,"КВР")))</f>
        <v>Публичные нормативные социальные выплаты гражданам</v>
      </c>
      <c r="B604" s="115">
        <v>805</v>
      </c>
      <c r="C604" s="8" t="s">
        <v>203</v>
      </c>
      <c r="D604" s="8" t="s">
        <v>221</v>
      </c>
      <c r="E604" s="115" t="s">
        <v>303</v>
      </c>
      <c r="F604" s="115">
        <v>310</v>
      </c>
      <c r="G604" s="70">
        <f t="shared" si="130"/>
        <v>130.2</v>
      </c>
      <c r="H604" s="70">
        <f t="shared" si="130"/>
        <v>0</v>
      </c>
      <c r="I604" s="70">
        <f t="shared" si="120"/>
        <v>130.2</v>
      </c>
      <c r="J604" s="70">
        <f t="shared" si="130"/>
        <v>0</v>
      </c>
      <c r="K604" s="87">
        <f t="shared" si="118"/>
        <v>130.2</v>
      </c>
      <c r="L604" s="13">
        <f t="shared" si="130"/>
        <v>0</v>
      </c>
      <c r="M604" s="87">
        <f t="shared" si="127"/>
        <v>130.2</v>
      </c>
      <c r="N604" s="13">
        <f t="shared" si="130"/>
        <v>0</v>
      </c>
      <c r="O604" s="87">
        <f t="shared" si="128"/>
        <v>130.2</v>
      </c>
      <c r="P604" s="13">
        <f t="shared" si="130"/>
        <v>0</v>
      </c>
      <c r="Q604" s="87">
        <f t="shared" si="126"/>
        <v>130.2</v>
      </c>
      <c r="R604" s="13">
        <f t="shared" si="130"/>
        <v>0</v>
      </c>
      <c r="S604" s="87">
        <f t="shared" si="125"/>
        <v>130.2</v>
      </c>
    </row>
    <row r="605" spans="1:19" ht="33">
      <c r="A605" s="62" t="str">
        <f ca="1">IF(ISERROR(MATCH(F605,Код_КВР,0)),"",INDIRECT(ADDRESS(MATCH(F605,Код_КВР,0)+1,2,,,"КВР")))</f>
        <v>Пособия, компенсации, меры социальной поддержки по публичным нормативным обязательствам</v>
      </c>
      <c r="B605" s="115">
        <v>805</v>
      </c>
      <c r="C605" s="8" t="s">
        <v>203</v>
      </c>
      <c r="D605" s="8" t="s">
        <v>221</v>
      </c>
      <c r="E605" s="115" t="s">
        <v>303</v>
      </c>
      <c r="F605" s="115">
        <v>313</v>
      </c>
      <c r="G605" s="70">
        <v>130.2</v>
      </c>
      <c r="H605" s="65"/>
      <c r="I605" s="70">
        <f t="shared" si="120"/>
        <v>130.2</v>
      </c>
      <c r="J605" s="65"/>
      <c r="K605" s="87">
        <f t="shared" si="118"/>
        <v>130.2</v>
      </c>
      <c r="L605" s="87"/>
      <c r="M605" s="87">
        <f t="shared" si="127"/>
        <v>130.2</v>
      </c>
      <c r="N605" s="87"/>
      <c r="O605" s="87">
        <f t="shared" si="128"/>
        <v>130.2</v>
      </c>
      <c r="P605" s="87"/>
      <c r="Q605" s="87">
        <f t="shared" si="126"/>
        <v>130.2</v>
      </c>
      <c r="R605" s="87"/>
      <c r="S605" s="87">
        <f t="shared" si="125"/>
        <v>130.2</v>
      </c>
    </row>
    <row r="606" spans="1:19" ht="33">
      <c r="A606" s="62" t="str">
        <f ca="1">IF(ISERROR(MATCH(E606,Код_КЦСР,0)),"",INDIRECT(ADDRESS(MATCH(E606,Код_КЦСР,0)+1,2,,,"КЦСР")))</f>
        <v xml:space="preserve">Осуществление денежных выплат работникам муниципальных образовательных учреждений     </v>
      </c>
      <c r="B606" s="115">
        <v>805</v>
      </c>
      <c r="C606" s="8" t="s">
        <v>203</v>
      </c>
      <c r="D606" s="8" t="s">
        <v>221</v>
      </c>
      <c r="E606" s="115" t="s">
        <v>304</v>
      </c>
      <c r="F606" s="115"/>
      <c r="G606" s="70">
        <f aca="true" t="shared" si="131" ref="G606:R609">G607</f>
        <v>6156</v>
      </c>
      <c r="H606" s="70">
        <f t="shared" si="131"/>
        <v>0</v>
      </c>
      <c r="I606" s="70">
        <f t="shared" si="120"/>
        <v>6156</v>
      </c>
      <c r="J606" s="70">
        <f t="shared" si="131"/>
        <v>0</v>
      </c>
      <c r="K606" s="87">
        <f t="shared" si="118"/>
        <v>6156</v>
      </c>
      <c r="L606" s="13">
        <f t="shared" si="131"/>
        <v>0</v>
      </c>
      <c r="M606" s="87">
        <f t="shared" si="127"/>
        <v>6156</v>
      </c>
      <c r="N606" s="13">
        <f t="shared" si="131"/>
        <v>0</v>
      </c>
      <c r="O606" s="87">
        <f t="shared" si="128"/>
        <v>6156</v>
      </c>
      <c r="P606" s="13">
        <f t="shared" si="131"/>
        <v>0</v>
      </c>
      <c r="Q606" s="87">
        <f t="shared" si="126"/>
        <v>6156</v>
      </c>
      <c r="R606" s="13">
        <f t="shared" si="131"/>
        <v>2264</v>
      </c>
      <c r="S606" s="87">
        <f t="shared" si="125"/>
        <v>8420</v>
      </c>
    </row>
    <row r="607" spans="1:19" ht="81.75" customHeight="1">
      <c r="A607" s="62" t="str">
        <f ca="1">IF(ISERROR(MATCH(E607,Код_КЦСР,0)),"",INDIRECT(ADDRESS(MATCH(E607,Код_КЦСР,0)+1,2,,,"КЦСР")))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607" s="115">
        <v>805</v>
      </c>
      <c r="C607" s="8" t="s">
        <v>203</v>
      </c>
      <c r="D607" s="8" t="s">
        <v>221</v>
      </c>
      <c r="E607" s="115" t="s">
        <v>306</v>
      </c>
      <c r="F607" s="115"/>
      <c r="G607" s="70">
        <f t="shared" si="131"/>
        <v>6156</v>
      </c>
      <c r="H607" s="70">
        <f t="shared" si="131"/>
        <v>0</v>
      </c>
      <c r="I607" s="70">
        <f t="shared" si="120"/>
        <v>6156</v>
      </c>
      <c r="J607" s="70">
        <f t="shared" si="131"/>
        <v>0</v>
      </c>
      <c r="K607" s="87">
        <f t="shared" si="118"/>
        <v>6156</v>
      </c>
      <c r="L607" s="13">
        <f t="shared" si="131"/>
        <v>0</v>
      </c>
      <c r="M607" s="87">
        <f t="shared" si="127"/>
        <v>6156</v>
      </c>
      <c r="N607" s="13">
        <f t="shared" si="131"/>
        <v>0</v>
      </c>
      <c r="O607" s="87">
        <f t="shared" si="128"/>
        <v>6156</v>
      </c>
      <c r="P607" s="13">
        <f t="shared" si="131"/>
        <v>0</v>
      </c>
      <c r="Q607" s="87">
        <f t="shared" si="126"/>
        <v>6156</v>
      </c>
      <c r="R607" s="13">
        <f t="shared" si="131"/>
        <v>2264</v>
      </c>
      <c r="S607" s="87">
        <f t="shared" si="125"/>
        <v>8420</v>
      </c>
    </row>
    <row r="608" spans="1:19" ht="12.75">
      <c r="A608" s="62" t="str">
        <f ca="1">IF(ISERROR(MATCH(F608,Код_КВР,0)),"",INDIRECT(ADDRESS(MATCH(F608,Код_КВР,0)+1,2,,,"КВР")))</f>
        <v>Социальное обеспечение и иные выплаты населению</v>
      </c>
      <c r="B608" s="115">
        <v>805</v>
      </c>
      <c r="C608" s="8" t="s">
        <v>203</v>
      </c>
      <c r="D608" s="8" t="s">
        <v>221</v>
      </c>
      <c r="E608" s="115" t="s">
        <v>306</v>
      </c>
      <c r="F608" s="115">
        <v>300</v>
      </c>
      <c r="G608" s="70">
        <f t="shared" si="131"/>
        <v>6156</v>
      </c>
      <c r="H608" s="70">
        <f t="shared" si="131"/>
        <v>0</v>
      </c>
      <c r="I608" s="70">
        <f t="shared" si="120"/>
        <v>6156</v>
      </c>
      <c r="J608" s="70">
        <f t="shared" si="131"/>
        <v>0</v>
      </c>
      <c r="K608" s="87">
        <f t="shared" si="118"/>
        <v>6156</v>
      </c>
      <c r="L608" s="13">
        <f t="shared" si="131"/>
        <v>0</v>
      </c>
      <c r="M608" s="87">
        <f t="shared" si="127"/>
        <v>6156</v>
      </c>
      <c r="N608" s="13">
        <f t="shared" si="131"/>
        <v>0</v>
      </c>
      <c r="O608" s="87">
        <f t="shared" si="128"/>
        <v>6156</v>
      </c>
      <c r="P608" s="13">
        <f t="shared" si="131"/>
        <v>0</v>
      </c>
      <c r="Q608" s="87">
        <f t="shared" si="126"/>
        <v>6156</v>
      </c>
      <c r="R608" s="13">
        <f t="shared" si="131"/>
        <v>2264</v>
      </c>
      <c r="S608" s="87">
        <f t="shared" si="125"/>
        <v>8420</v>
      </c>
    </row>
    <row r="609" spans="1:19" ht="12.75">
      <c r="A609" s="62" t="str">
        <f ca="1">IF(ISERROR(MATCH(F609,Код_КВР,0)),"",INDIRECT(ADDRESS(MATCH(F609,Код_КВР,0)+1,2,,,"КВР")))</f>
        <v>Публичные нормативные социальные выплаты гражданам</v>
      </c>
      <c r="B609" s="115">
        <v>805</v>
      </c>
      <c r="C609" s="8" t="s">
        <v>203</v>
      </c>
      <c r="D609" s="8" t="s">
        <v>221</v>
      </c>
      <c r="E609" s="115" t="s">
        <v>306</v>
      </c>
      <c r="F609" s="115">
        <v>310</v>
      </c>
      <c r="G609" s="70">
        <f t="shared" si="131"/>
        <v>6156</v>
      </c>
      <c r="H609" s="70">
        <f t="shared" si="131"/>
        <v>0</v>
      </c>
      <c r="I609" s="70">
        <f t="shared" si="120"/>
        <v>6156</v>
      </c>
      <c r="J609" s="70">
        <f t="shared" si="131"/>
        <v>0</v>
      </c>
      <c r="K609" s="87">
        <f t="shared" si="118"/>
        <v>6156</v>
      </c>
      <c r="L609" s="13">
        <f t="shared" si="131"/>
        <v>0</v>
      </c>
      <c r="M609" s="87">
        <f t="shared" si="127"/>
        <v>6156</v>
      </c>
      <c r="N609" s="13">
        <f t="shared" si="131"/>
        <v>0</v>
      </c>
      <c r="O609" s="87">
        <f t="shared" si="128"/>
        <v>6156</v>
      </c>
      <c r="P609" s="13">
        <f t="shared" si="131"/>
        <v>0</v>
      </c>
      <c r="Q609" s="87">
        <f t="shared" si="126"/>
        <v>6156</v>
      </c>
      <c r="R609" s="13">
        <f t="shared" si="131"/>
        <v>2264</v>
      </c>
      <c r="S609" s="87">
        <f t="shared" si="125"/>
        <v>8420</v>
      </c>
    </row>
    <row r="610" spans="1:19" ht="33">
      <c r="A610" s="62" t="str">
        <f ca="1">IF(ISERROR(MATCH(F610,Код_КВР,0)),"",INDIRECT(ADDRESS(MATCH(F610,Код_КВР,0)+1,2,,,"КВР")))</f>
        <v>Пособия, компенсации, меры социальной поддержки по публичным нормативным обязательствам</v>
      </c>
      <c r="B610" s="115">
        <v>805</v>
      </c>
      <c r="C610" s="8" t="s">
        <v>203</v>
      </c>
      <c r="D610" s="8" t="s">
        <v>221</v>
      </c>
      <c r="E610" s="115" t="s">
        <v>306</v>
      </c>
      <c r="F610" s="115">
        <v>313</v>
      </c>
      <c r="G610" s="70">
        <v>6156</v>
      </c>
      <c r="H610" s="65"/>
      <c r="I610" s="70">
        <f t="shared" si="120"/>
        <v>6156</v>
      </c>
      <c r="J610" s="65"/>
      <c r="K610" s="87">
        <f t="shared" si="118"/>
        <v>6156</v>
      </c>
      <c r="L610" s="87"/>
      <c r="M610" s="87">
        <f t="shared" si="127"/>
        <v>6156</v>
      </c>
      <c r="N610" s="87"/>
      <c r="O610" s="87">
        <f t="shared" si="128"/>
        <v>6156</v>
      </c>
      <c r="P610" s="87"/>
      <c r="Q610" s="87">
        <f t="shared" si="126"/>
        <v>6156</v>
      </c>
      <c r="R610" s="87">
        <v>2264</v>
      </c>
      <c r="S610" s="87">
        <f t="shared" si="125"/>
        <v>8420</v>
      </c>
    </row>
    <row r="611" spans="1:19" ht="33">
      <c r="A611" s="62" t="str">
        <f ca="1">IF(ISERROR(MATCH(E611,Код_КЦСР,0)),"",INDIRECT(ADDRESS(MATCH(E611,Код_КЦСР,0)+1,2,,,"КЦСР")))</f>
        <v>Непрограммные направления деятельности органов местного самоуправления</v>
      </c>
      <c r="B611" s="115">
        <v>805</v>
      </c>
      <c r="C611" s="8" t="s">
        <v>203</v>
      </c>
      <c r="D611" s="8" t="s">
        <v>221</v>
      </c>
      <c r="E611" s="115" t="s">
        <v>307</v>
      </c>
      <c r="F611" s="115"/>
      <c r="G611" s="70"/>
      <c r="H611" s="65"/>
      <c r="I611" s="70"/>
      <c r="J611" s="65">
        <f>J612</f>
        <v>44229.299999999996</v>
      </c>
      <c r="K611" s="87">
        <f t="shared" si="118"/>
        <v>44229.299999999996</v>
      </c>
      <c r="L611" s="87">
        <f>L612</f>
        <v>0</v>
      </c>
      <c r="M611" s="87">
        <f t="shared" si="127"/>
        <v>44229.299999999996</v>
      </c>
      <c r="N611" s="87">
        <f>N612</f>
        <v>0</v>
      </c>
      <c r="O611" s="87">
        <f t="shared" si="128"/>
        <v>44229.299999999996</v>
      </c>
      <c r="P611" s="87">
        <f>P612</f>
        <v>0</v>
      </c>
      <c r="Q611" s="87">
        <f t="shared" si="126"/>
        <v>44229.299999999996</v>
      </c>
      <c r="R611" s="87">
        <f>R612</f>
        <v>0</v>
      </c>
      <c r="S611" s="87">
        <f t="shared" si="125"/>
        <v>44229.299999999996</v>
      </c>
    </row>
    <row r="612" spans="1:19" ht="12.75">
      <c r="A612" s="62" t="str">
        <f ca="1">IF(ISERROR(MATCH(E612,Код_КЦСР,0)),"",INDIRECT(ADDRESS(MATCH(E612,Код_КЦСР,0)+1,2,,,"КЦСР")))</f>
        <v>Расходы, не включенные в муниципальные программы города Череповца</v>
      </c>
      <c r="B612" s="115">
        <v>805</v>
      </c>
      <c r="C612" s="8" t="s">
        <v>203</v>
      </c>
      <c r="D612" s="8" t="s">
        <v>221</v>
      </c>
      <c r="E612" s="115" t="s">
        <v>309</v>
      </c>
      <c r="F612" s="115"/>
      <c r="G612" s="70"/>
      <c r="H612" s="65"/>
      <c r="I612" s="70"/>
      <c r="J612" s="65">
        <f>J613</f>
        <v>44229.299999999996</v>
      </c>
      <c r="K612" s="87">
        <f t="shared" si="118"/>
        <v>44229.299999999996</v>
      </c>
      <c r="L612" s="87">
        <f>L613</f>
        <v>0</v>
      </c>
      <c r="M612" s="87">
        <f t="shared" si="127"/>
        <v>44229.299999999996</v>
      </c>
      <c r="N612" s="87">
        <f>N613</f>
        <v>0</v>
      </c>
      <c r="O612" s="87">
        <f t="shared" si="128"/>
        <v>44229.299999999996</v>
      </c>
      <c r="P612" s="87">
        <f>P613</f>
        <v>0</v>
      </c>
      <c r="Q612" s="87">
        <f t="shared" si="126"/>
        <v>44229.299999999996</v>
      </c>
      <c r="R612" s="87">
        <f>R613</f>
        <v>0</v>
      </c>
      <c r="S612" s="87">
        <f t="shared" si="125"/>
        <v>44229.299999999996</v>
      </c>
    </row>
    <row r="613" spans="1:19" ht="12.75">
      <c r="A613" s="62" t="str">
        <f ca="1">IF(ISERROR(MATCH(E613,Код_КЦСР,0)),"",INDIRECT(ADDRESS(MATCH(E613,Код_КЦСР,0)+1,2,,,"КЦСР")))</f>
        <v>Кредиторская задолженность, сложившаяся по итогам 2013 года</v>
      </c>
      <c r="B613" s="115">
        <v>805</v>
      </c>
      <c r="C613" s="8" t="s">
        <v>203</v>
      </c>
      <c r="D613" s="8" t="s">
        <v>221</v>
      </c>
      <c r="E613" s="115" t="s">
        <v>379</v>
      </c>
      <c r="F613" s="115"/>
      <c r="G613" s="70"/>
      <c r="H613" s="65"/>
      <c r="I613" s="70"/>
      <c r="J613" s="65">
        <f>J614</f>
        <v>44229.299999999996</v>
      </c>
      <c r="K613" s="87">
        <f t="shared" si="118"/>
        <v>44229.299999999996</v>
      </c>
      <c r="L613" s="87">
        <f>L614</f>
        <v>0</v>
      </c>
      <c r="M613" s="87">
        <f t="shared" si="127"/>
        <v>44229.299999999996</v>
      </c>
      <c r="N613" s="87">
        <f>N614</f>
        <v>0</v>
      </c>
      <c r="O613" s="87">
        <f t="shared" si="128"/>
        <v>44229.299999999996</v>
      </c>
      <c r="P613" s="87">
        <f>P614</f>
        <v>0</v>
      </c>
      <c r="Q613" s="87">
        <f t="shared" si="126"/>
        <v>44229.299999999996</v>
      </c>
      <c r="R613" s="87">
        <f>R614</f>
        <v>0</v>
      </c>
      <c r="S613" s="87">
        <f t="shared" si="125"/>
        <v>44229.299999999996</v>
      </c>
    </row>
    <row r="614" spans="1:19" ht="33">
      <c r="A614" s="62" t="str">
        <f ca="1">IF(ISERROR(MATCH(F614,Код_КВР,0)),"",INDIRECT(ADDRESS(MATCH(F614,Код_КВР,0)+1,2,,,"КВР")))</f>
        <v>Предоставление субсидий бюджетным, автономным учреждениям и иным некоммерческим организациям</v>
      </c>
      <c r="B614" s="115">
        <v>805</v>
      </c>
      <c r="C614" s="8" t="s">
        <v>203</v>
      </c>
      <c r="D614" s="8" t="s">
        <v>221</v>
      </c>
      <c r="E614" s="115" t="s">
        <v>379</v>
      </c>
      <c r="F614" s="115">
        <v>600</v>
      </c>
      <c r="G614" s="70"/>
      <c r="H614" s="65"/>
      <c r="I614" s="70"/>
      <c r="J614" s="65">
        <f>J615+J617</f>
        <v>44229.299999999996</v>
      </c>
      <c r="K614" s="87">
        <f t="shared" si="118"/>
        <v>44229.299999999996</v>
      </c>
      <c r="L614" s="87">
        <f>L615+L617</f>
        <v>0</v>
      </c>
      <c r="M614" s="87">
        <f t="shared" si="127"/>
        <v>44229.299999999996</v>
      </c>
      <c r="N614" s="87">
        <f>N615+N617</f>
        <v>0</v>
      </c>
      <c r="O614" s="87">
        <f t="shared" si="128"/>
        <v>44229.299999999996</v>
      </c>
      <c r="P614" s="87">
        <f>P615+P617</f>
        <v>0</v>
      </c>
      <c r="Q614" s="87">
        <f t="shared" si="126"/>
        <v>44229.299999999996</v>
      </c>
      <c r="R614" s="87">
        <f>R615+R617</f>
        <v>0</v>
      </c>
      <c r="S614" s="87">
        <f t="shared" si="125"/>
        <v>44229.299999999996</v>
      </c>
    </row>
    <row r="615" spans="1:19" ht="12.75">
      <c r="A615" s="62" t="str">
        <f ca="1">IF(ISERROR(MATCH(F615,Код_КВР,0)),"",INDIRECT(ADDRESS(MATCH(F615,Код_КВР,0)+1,2,,,"КВР")))</f>
        <v>Субсидии бюджетным учреждениям</v>
      </c>
      <c r="B615" s="115">
        <v>805</v>
      </c>
      <c r="C615" s="8" t="s">
        <v>203</v>
      </c>
      <c r="D615" s="8" t="s">
        <v>221</v>
      </c>
      <c r="E615" s="115" t="s">
        <v>379</v>
      </c>
      <c r="F615" s="115">
        <v>610</v>
      </c>
      <c r="G615" s="70"/>
      <c r="H615" s="65"/>
      <c r="I615" s="70"/>
      <c r="J615" s="65">
        <f>J616</f>
        <v>42345.1</v>
      </c>
      <c r="K615" s="87">
        <f t="shared" si="118"/>
        <v>42345.1</v>
      </c>
      <c r="L615" s="87">
        <f>L616</f>
        <v>0</v>
      </c>
      <c r="M615" s="87">
        <f t="shared" si="127"/>
        <v>42345.1</v>
      </c>
      <c r="N615" s="87">
        <f>N616</f>
        <v>0</v>
      </c>
      <c r="O615" s="87">
        <f t="shared" si="128"/>
        <v>42345.1</v>
      </c>
      <c r="P615" s="87">
        <f>P616</f>
        <v>0</v>
      </c>
      <c r="Q615" s="87">
        <f t="shared" si="126"/>
        <v>42345.1</v>
      </c>
      <c r="R615" s="87">
        <f>R616</f>
        <v>0</v>
      </c>
      <c r="S615" s="87">
        <f t="shared" si="125"/>
        <v>42345.1</v>
      </c>
    </row>
    <row r="616" spans="1:19" ht="12.75">
      <c r="A616" s="62" t="str">
        <f ca="1">IF(ISERROR(MATCH(F616,Код_КВР,0)),"",INDIRECT(ADDRESS(MATCH(F616,Код_КВР,0)+1,2,,,"КВР")))</f>
        <v>Субсидии бюджетным учреждениям на иные цели</v>
      </c>
      <c r="B616" s="115">
        <v>805</v>
      </c>
      <c r="C616" s="8" t="s">
        <v>203</v>
      </c>
      <c r="D616" s="8" t="s">
        <v>221</v>
      </c>
      <c r="E616" s="115" t="s">
        <v>379</v>
      </c>
      <c r="F616" s="115">
        <v>612</v>
      </c>
      <c r="G616" s="70"/>
      <c r="H616" s="65"/>
      <c r="I616" s="70"/>
      <c r="J616" s="65">
        <f>45091.1-2746</f>
        <v>42345.1</v>
      </c>
      <c r="K616" s="87">
        <f t="shared" si="118"/>
        <v>42345.1</v>
      </c>
      <c r="L616" s="87"/>
      <c r="M616" s="87">
        <f t="shared" si="127"/>
        <v>42345.1</v>
      </c>
      <c r="N616" s="87"/>
      <c r="O616" s="87">
        <f t="shared" si="128"/>
        <v>42345.1</v>
      </c>
      <c r="P616" s="87"/>
      <c r="Q616" s="87">
        <f t="shared" si="126"/>
        <v>42345.1</v>
      </c>
      <c r="R616" s="87"/>
      <c r="S616" s="87">
        <f t="shared" si="125"/>
        <v>42345.1</v>
      </c>
    </row>
    <row r="617" spans="1:19" ht="12.75">
      <c r="A617" s="62" t="str">
        <f ca="1">IF(ISERROR(MATCH(F617,Код_КВР,0)),"",INDIRECT(ADDRESS(MATCH(F617,Код_КВР,0)+1,2,,,"КВР")))</f>
        <v>Субсидии автономным учреждениям</v>
      </c>
      <c r="B617" s="115">
        <v>805</v>
      </c>
      <c r="C617" s="8" t="s">
        <v>203</v>
      </c>
      <c r="D617" s="8" t="s">
        <v>221</v>
      </c>
      <c r="E617" s="115" t="s">
        <v>379</v>
      </c>
      <c r="F617" s="115">
        <v>620</v>
      </c>
      <c r="G617" s="70"/>
      <c r="H617" s="65"/>
      <c r="I617" s="70"/>
      <c r="J617" s="65">
        <f>J618</f>
        <v>1884.2</v>
      </c>
      <c r="K617" s="87">
        <f t="shared" si="118"/>
        <v>1884.2</v>
      </c>
      <c r="L617" s="87">
        <f>L618</f>
        <v>0</v>
      </c>
      <c r="M617" s="87">
        <f t="shared" si="127"/>
        <v>1884.2</v>
      </c>
      <c r="N617" s="87">
        <f>N618</f>
        <v>0</v>
      </c>
      <c r="O617" s="87">
        <f t="shared" si="128"/>
        <v>1884.2</v>
      </c>
      <c r="P617" s="87">
        <f>P618</f>
        <v>0</v>
      </c>
      <c r="Q617" s="87">
        <f t="shared" si="126"/>
        <v>1884.2</v>
      </c>
      <c r="R617" s="87">
        <f>R618</f>
        <v>0</v>
      </c>
      <c r="S617" s="87">
        <f t="shared" si="125"/>
        <v>1884.2</v>
      </c>
    </row>
    <row r="618" spans="1:19" ht="12.75">
      <c r="A618" s="62" t="str">
        <f ca="1">IF(ISERROR(MATCH(F618,Код_КВР,0)),"",INDIRECT(ADDRESS(MATCH(F618,Код_КВР,0)+1,2,,,"КВР")))</f>
        <v>Субсидии автономным учреждениям на иные цели</v>
      </c>
      <c r="B618" s="115">
        <v>805</v>
      </c>
      <c r="C618" s="8" t="s">
        <v>203</v>
      </c>
      <c r="D618" s="8" t="s">
        <v>221</v>
      </c>
      <c r="E618" s="115" t="s">
        <v>379</v>
      </c>
      <c r="F618" s="115">
        <v>622</v>
      </c>
      <c r="G618" s="70"/>
      <c r="H618" s="65"/>
      <c r="I618" s="70"/>
      <c r="J618" s="65">
        <v>1884.2</v>
      </c>
      <c r="K618" s="87">
        <f t="shared" si="118"/>
        <v>1884.2</v>
      </c>
      <c r="L618" s="87"/>
      <c r="M618" s="87">
        <f t="shared" si="127"/>
        <v>1884.2</v>
      </c>
      <c r="N618" s="87"/>
      <c r="O618" s="87">
        <f t="shared" si="128"/>
        <v>1884.2</v>
      </c>
      <c r="P618" s="87"/>
      <c r="Q618" s="87">
        <f t="shared" si="126"/>
        <v>1884.2</v>
      </c>
      <c r="R618" s="87"/>
      <c r="S618" s="87">
        <f t="shared" si="125"/>
        <v>1884.2</v>
      </c>
    </row>
    <row r="619" spans="1:19" ht="12.75">
      <c r="A619" s="12" t="s">
        <v>258</v>
      </c>
      <c r="B619" s="115">
        <v>805</v>
      </c>
      <c r="C619" s="8" t="s">
        <v>203</v>
      </c>
      <c r="D619" s="8" t="s">
        <v>222</v>
      </c>
      <c r="E619" s="115"/>
      <c r="F619" s="115"/>
      <c r="G619" s="70">
        <f>G620</f>
        <v>1549087.7999999998</v>
      </c>
      <c r="H619" s="70">
        <f>H620</f>
        <v>0</v>
      </c>
      <c r="I619" s="70">
        <f t="shared" si="120"/>
        <v>1549087.7999999998</v>
      </c>
      <c r="J619" s="70">
        <f>J620</f>
        <v>-7173</v>
      </c>
      <c r="K619" s="87">
        <f t="shared" si="118"/>
        <v>1541914.7999999998</v>
      </c>
      <c r="L619" s="13">
        <f>L620</f>
        <v>-77</v>
      </c>
      <c r="M619" s="87">
        <f t="shared" si="127"/>
        <v>1541837.7999999998</v>
      </c>
      <c r="N619" s="13">
        <f>N620</f>
        <v>-2877.3</v>
      </c>
      <c r="O619" s="87">
        <f t="shared" si="128"/>
        <v>1538960.4999999998</v>
      </c>
      <c r="P619" s="13">
        <f>P620</f>
        <v>10</v>
      </c>
      <c r="Q619" s="87">
        <f t="shared" si="126"/>
        <v>1538970.4999999998</v>
      </c>
      <c r="R619" s="13">
        <f>R620</f>
        <v>-491.2</v>
      </c>
      <c r="S619" s="87">
        <f t="shared" si="125"/>
        <v>1538479.2999999998</v>
      </c>
    </row>
    <row r="620" spans="1:19" ht="21" customHeight="1">
      <c r="A620" s="62" t="str">
        <f ca="1">IF(ISERROR(MATCH(E620,Код_КЦСР,0)),"",INDIRECT(ADDRESS(MATCH(E620,Код_КЦСР,0)+1,2,,,"КЦСР")))</f>
        <v>Муниципальная программа «Развитие образования» на 2013-2022 годы</v>
      </c>
      <c r="B620" s="115">
        <v>805</v>
      </c>
      <c r="C620" s="8" t="s">
        <v>203</v>
      </c>
      <c r="D620" s="8" t="s">
        <v>222</v>
      </c>
      <c r="E620" s="115" t="s">
        <v>279</v>
      </c>
      <c r="F620" s="115"/>
      <c r="G620" s="70">
        <f>G621+G650+G659+G670</f>
        <v>1549087.7999999998</v>
      </c>
      <c r="H620" s="70">
        <f>H621+H650+H659+H670</f>
        <v>0</v>
      </c>
      <c r="I620" s="70">
        <f t="shared" si="120"/>
        <v>1549087.7999999998</v>
      </c>
      <c r="J620" s="70">
        <f>J621+J650+J659+J670</f>
        <v>-7173</v>
      </c>
      <c r="K620" s="87">
        <f t="shared" si="118"/>
        <v>1541914.7999999998</v>
      </c>
      <c r="L620" s="13">
        <f>L621+L650+L659+L670</f>
        <v>-77</v>
      </c>
      <c r="M620" s="87">
        <f t="shared" si="127"/>
        <v>1541837.7999999998</v>
      </c>
      <c r="N620" s="13">
        <f>N621+N650+N659+N670</f>
        <v>-2877.3</v>
      </c>
      <c r="O620" s="87">
        <f t="shared" si="128"/>
        <v>1538960.4999999998</v>
      </c>
      <c r="P620" s="13">
        <f>P621+P650+P659+P670</f>
        <v>10</v>
      </c>
      <c r="Q620" s="87">
        <f t="shared" si="126"/>
        <v>1538970.4999999998</v>
      </c>
      <c r="R620" s="13">
        <f>R621+R650+R659+R670</f>
        <v>-491.2</v>
      </c>
      <c r="S620" s="87">
        <f t="shared" si="125"/>
        <v>1538479.2999999998</v>
      </c>
    </row>
    <row r="621" spans="1:19" ht="12.75">
      <c r="A621" s="62" t="str">
        <f ca="1">IF(ISERROR(MATCH(E621,Код_КЦСР,0)),"",INDIRECT(ADDRESS(MATCH(E621,Код_КЦСР,0)+1,2,,,"КЦСР")))</f>
        <v>Общее образование</v>
      </c>
      <c r="B621" s="115">
        <v>805</v>
      </c>
      <c r="C621" s="8" t="s">
        <v>203</v>
      </c>
      <c r="D621" s="8" t="s">
        <v>222</v>
      </c>
      <c r="E621" s="115" t="s">
        <v>288</v>
      </c>
      <c r="F621" s="115"/>
      <c r="G621" s="70">
        <f>G622+G628+G632+G636+G644</f>
        <v>1341601.9</v>
      </c>
      <c r="H621" s="70">
        <f>H622+H628+H632+H636+H644</f>
        <v>0</v>
      </c>
      <c r="I621" s="70">
        <f>G621+H621</f>
        <v>1341601.9</v>
      </c>
      <c r="J621" s="70">
        <f>J622+J628+J632+J636+J644</f>
        <v>-7173</v>
      </c>
      <c r="K621" s="87">
        <f t="shared" si="118"/>
        <v>1334428.9</v>
      </c>
      <c r="L621" s="13">
        <f>L622+L628+L632+L636+L644</f>
        <v>0</v>
      </c>
      <c r="M621" s="87">
        <f t="shared" si="127"/>
        <v>1334428.9</v>
      </c>
      <c r="N621" s="13">
        <f>N622+N628+N632+N636+N644</f>
        <v>-2877.3</v>
      </c>
      <c r="O621" s="87">
        <f t="shared" si="128"/>
        <v>1331551.5999999999</v>
      </c>
      <c r="P621" s="13">
        <f>P622+P628+P632+P636+P644</f>
        <v>10</v>
      </c>
      <c r="Q621" s="87">
        <f t="shared" si="126"/>
        <v>1331561.5999999999</v>
      </c>
      <c r="R621" s="13">
        <f>R622+R628+R632+R636+R644</f>
        <v>0</v>
      </c>
      <c r="S621" s="87">
        <f t="shared" si="125"/>
        <v>1331561.5999999999</v>
      </c>
    </row>
    <row r="622" spans="1:19" ht="49.5">
      <c r="A622" s="62" t="str">
        <f ca="1">IF(ISERROR(MATCH(E622,Код_КЦСР,0)),"",INDIRECT(ADDRESS(MATCH(E622,Код_КЦСР,0)+1,2,,,"КЦСР")))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22" s="115">
        <v>805</v>
      </c>
      <c r="C622" s="8" t="s">
        <v>203</v>
      </c>
      <c r="D622" s="8" t="s">
        <v>222</v>
      </c>
      <c r="E622" s="115" t="s">
        <v>289</v>
      </c>
      <c r="F622" s="115"/>
      <c r="G622" s="70">
        <f>G623</f>
        <v>159038.2</v>
      </c>
      <c r="H622" s="70">
        <f>H623</f>
        <v>0</v>
      </c>
      <c r="I622" s="70">
        <f t="shared" si="120"/>
        <v>159038.2</v>
      </c>
      <c r="J622" s="70">
        <f>J623</f>
        <v>0</v>
      </c>
      <c r="K622" s="87">
        <f t="shared" si="118"/>
        <v>159038.2</v>
      </c>
      <c r="L622" s="13">
        <f>L623</f>
        <v>0</v>
      </c>
      <c r="M622" s="87">
        <f t="shared" si="127"/>
        <v>159038.2</v>
      </c>
      <c r="N622" s="13">
        <f>N623</f>
        <v>-2877.3</v>
      </c>
      <c r="O622" s="87">
        <f t="shared" si="128"/>
        <v>156160.90000000002</v>
      </c>
      <c r="P622" s="13">
        <f>P623</f>
        <v>0</v>
      </c>
      <c r="Q622" s="87">
        <f t="shared" si="126"/>
        <v>156160.90000000002</v>
      </c>
      <c r="R622" s="13">
        <f>R623</f>
        <v>0</v>
      </c>
      <c r="S622" s="87">
        <f t="shared" si="125"/>
        <v>156160.90000000002</v>
      </c>
    </row>
    <row r="623" spans="1:19" ht="33">
      <c r="A623" s="97" t="str">
        <f ca="1">IF(ISERROR(MATCH(F623,Код_КВР,0)),"",INDIRECT(ADDRESS(MATCH(F623,Код_КВР,0)+1,2,,,"КВР")))</f>
        <v>Предоставление субсидий бюджетным, автономным учреждениям и иным некоммерческим организациям</v>
      </c>
      <c r="B623" s="96">
        <v>805</v>
      </c>
      <c r="C623" s="99" t="s">
        <v>203</v>
      </c>
      <c r="D623" s="99" t="s">
        <v>222</v>
      </c>
      <c r="E623" s="96" t="s">
        <v>289</v>
      </c>
      <c r="F623" s="96">
        <v>600</v>
      </c>
      <c r="G623" s="105">
        <f>G624+G626</f>
        <v>159038.2</v>
      </c>
      <c r="H623" s="105">
        <f>H624+H626</f>
        <v>0</v>
      </c>
      <c r="I623" s="105">
        <f t="shared" si="120"/>
        <v>159038.2</v>
      </c>
      <c r="J623" s="105">
        <f>J624+J626</f>
        <v>0</v>
      </c>
      <c r="K623" s="106">
        <f aca="true" t="shared" si="132" ref="K623:K699">I623+J623</f>
        <v>159038.2</v>
      </c>
      <c r="L623" s="107">
        <f>L624+L626</f>
        <v>0</v>
      </c>
      <c r="M623" s="106">
        <f t="shared" si="127"/>
        <v>159038.2</v>
      </c>
      <c r="N623" s="107">
        <f>N624+N626</f>
        <v>-2877.3</v>
      </c>
      <c r="O623" s="106">
        <f t="shared" si="128"/>
        <v>156160.90000000002</v>
      </c>
      <c r="P623" s="107">
        <f>P624+P626</f>
        <v>0</v>
      </c>
      <c r="Q623" s="87">
        <f t="shared" si="126"/>
        <v>156160.90000000002</v>
      </c>
      <c r="R623" s="107">
        <f>R624+R626</f>
        <v>0</v>
      </c>
      <c r="S623" s="87">
        <f t="shared" si="125"/>
        <v>156160.90000000002</v>
      </c>
    </row>
    <row r="624" spans="1:19" ht="12.75">
      <c r="A624" s="97" t="str">
        <f ca="1">IF(ISERROR(MATCH(F624,Код_КВР,0)),"",INDIRECT(ADDRESS(MATCH(F624,Код_КВР,0)+1,2,,,"КВР")))</f>
        <v>Субсидии бюджетным учреждениям</v>
      </c>
      <c r="B624" s="96">
        <v>805</v>
      </c>
      <c r="C624" s="99" t="s">
        <v>203</v>
      </c>
      <c r="D624" s="99" t="s">
        <v>222</v>
      </c>
      <c r="E624" s="96" t="s">
        <v>289</v>
      </c>
      <c r="F624" s="96">
        <v>610</v>
      </c>
      <c r="G624" s="105">
        <f>G625</f>
        <v>155778.5</v>
      </c>
      <c r="H624" s="105">
        <f>H625</f>
        <v>0</v>
      </c>
      <c r="I624" s="105">
        <f t="shared" si="120"/>
        <v>155778.5</v>
      </c>
      <c r="J624" s="105">
        <f>J625</f>
        <v>0</v>
      </c>
      <c r="K624" s="106">
        <f t="shared" si="132"/>
        <v>155778.5</v>
      </c>
      <c r="L624" s="107">
        <f>L625</f>
        <v>0</v>
      </c>
      <c r="M624" s="106">
        <f t="shared" si="127"/>
        <v>155778.5</v>
      </c>
      <c r="N624" s="107">
        <f>N625</f>
        <v>-2877.3</v>
      </c>
      <c r="O624" s="106">
        <f t="shared" si="128"/>
        <v>152901.2</v>
      </c>
      <c r="P624" s="107">
        <f>P625</f>
        <v>0</v>
      </c>
      <c r="Q624" s="87">
        <f t="shared" si="126"/>
        <v>152901.2</v>
      </c>
      <c r="R624" s="107">
        <f>R625</f>
        <v>0</v>
      </c>
      <c r="S624" s="87">
        <f t="shared" si="125"/>
        <v>152901.2</v>
      </c>
    </row>
    <row r="625" spans="1:19" ht="49.5">
      <c r="A625" s="97" t="str">
        <f ca="1">IF(ISERROR(MATCH(F625,Код_КВР,0)),"",INDIRECT(ADDRESS(MATCH(F625,Код_КВР,0)+1,2,,,"КВР")))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5" s="96">
        <v>805</v>
      </c>
      <c r="C625" s="99" t="s">
        <v>203</v>
      </c>
      <c r="D625" s="99" t="s">
        <v>222</v>
      </c>
      <c r="E625" s="96" t="s">
        <v>289</v>
      </c>
      <c r="F625" s="96">
        <v>611</v>
      </c>
      <c r="G625" s="105">
        <v>155778.5</v>
      </c>
      <c r="H625" s="108"/>
      <c r="I625" s="105">
        <f t="shared" si="120"/>
        <v>155778.5</v>
      </c>
      <c r="J625" s="108"/>
      <c r="K625" s="106">
        <f t="shared" si="132"/>
        <v>155778.5</v>
      </c>
      <c r="L625" s="106"/>
      <c r="M625" s="106">
        <f t="shared" si="127"/>
        <v>155778.5</v>
      </c>
      <c r="N625" s="106">
        <f>-2500-377.3</f>
        <v>-2877.3</v>
      </c>
      <c r="O625" s="106">
        <f t="shared" si="128"/>
        <v>152901.2</v>
      </c>
      <c r="P625" s="106"/>
      <c r="Q625" s="87">
        <f t="shared" si="126"/>
        <v>152901.2</v>
      </c>
      <c r="R625" s="106"/>
      <c r="S625" s="87">
        <f t="shared" si="125"/>
        <v>152901.2</v>
      </c>
    </row>
    <row r="626" spans="1:19" ht="12.75">
      <c r="A626" s="62" t="str">
        <f ca="1">IF(ISERROR(MATCH(F626,Код_КВР,0)),"",INDIRECT(ADDRESS(MATCH(F626,Код_КВР,0)+1,2,,,"КВР")))</f>
        <v>Субсидии автономным учреждениям</v>
      </c>
      <c r="B626" s="115">
        <v>805</v>
      </c>
      <c r="C626" s="8" t="s">
        <v>203</v>
      </c>
      <c r="D626" s="8" t="s">
        <v>222</v>
      </c>
      <c r="E626" s="115" t="s">
        <v>289</v>
      </c>
      <c r="F626" s="115">
        <v>620</v>
      </c>
      <c r="G626" s="70">
        <f>G627</f>
        <v>3259.7</v>
      </c>
      <c r="H626" s="70">
        <f>H627</f>
        <v>0</v>
      </c>
      <c r="I626" s="70">
        <f t="shared" si="120"/>
        <v>3259.7</v>
      </c>
      <c r="J626" s="70">
        <f>J627</f>
        <v>0</v>
      </c>
      <c r="K626" s="87">
        <f t="shared" si="132"/>
        <v>3259.7</v>
      </c>
      <c r="L626" s="13">
        <f>L627</f>
        <v>0</v>
      </c>
      <c r="M626" s="87">
        <f t="shared" si="127"/>
        <v>3259.7</v>
      </c>
      <c r="N626" s="13">
        <f>N627</f>
        <v>0</v>
      </c>
      <c r="O626" s="87">
        <f t="shared" si="128"/>
        <v>3259.7</v>
      </c>
      <c r="P626" s="13">
        <f>P627</f>
        <v>0</v>
      </c>
      <c r="Q626" s="87">
        <f t="shared" si="126"/>
        <v>3259.7</v>
      </c>
      <c r="R626" s="13">
        <f>R627</f>
        <v>0</v>
      </c>
      <c r="S626" s="87">
        <f t="shared" si="125"/>
        <v>3259.7</v>
      </c>
    </row>
    <row r="627" spans="1:19" ht="49.5">
      <c r="A627" s="62" t="str">
        <f ca="1">IF(ISERROR(MATCH(F627,Код_КВР,0)),"",INDIRECT(ADDRESS(MATCH(F627,Код_КВР,0)+1,2,,,"КВР")))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27" s="115">
        <v>805</v>
      </c>
      <c r="C627" s="8" t="s">
        <v>203</v>
      </c>
      <c r="D627" s="8" t="s">
        <v>222</v>
      </c>
      <c r="E627" s="115" t="s">
        <v>289</v>
      </c>
      <c r="F627" s="115">
        <v>621</v>
      </c>
      <c r="G627" s="70">
        <v>3259.7</v>
      </c>
      <c r="H627" s="65"/>
      <c r="I627" s="70">
        <f t="shared" si="120"/>
        <v>3259.7</v>
      </c>
      <c r="J627" s="65"/>
      <c r="K627" s="87">
        <f t="shared" si="132"/>
        <v>3259.7</v>
      </c>
      <c r="L627" s="87"/>
      <c r="M627" s="87">
        <f t="shared" si="127"/>
        <v>3259.7</v>
      </c>
      <c r="N627" s="87"/>
      <c r="O627" s="87">
        <f t="shared" si="128"/>
        <v>3259.7</v>
      </c>
      <c r="P627" s="87"/>
      <c r="Q627" s="87">
        <f t="shared" si="126"/>
        <v>3259.7</v>
      </c>
      <c r="R627" s="87"/>
      <c r="S627" s="87">
        <f aca="true" t="shared" si="133" ref="S627:S694">Q627+R627</f>
        <v>3259.7</v>
      </c>
    </row>
    <row r="628" spans="1:19" ht="82.5">
      <c r="A628" s="62" t="str">
        <f ca="1">IF(ISERROR(MATCH(E628,Код_КЦСР,0)),"",INDIRECT(ADDRESS(MATCH(E628,Код_КЦСР,0)+1,2,,,"КЦСР")))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628" s="115">
        <v>805</v>
      </c>
      <c r="C628" s="8" t="s">
        <v>203</v>
      </c>
      <c r="D628" s="8" t="s">
        <v>222</v>
      </c>
      <c r="E628" s="115" t="s">
        <v>290</v>
      </c>
      <c r="F628" s="115"/>
      <c r="G628" s="70">
        <f aca="true" t="shared" si="134" ref="G628:R630">G629</f>
        <v>8367.7</v>
      </c>
      <c r="H628" s="70">
        <f t="shared" si="134"/>
        <v>0</v>
      </c>
      <c r="I628" s="70">
        <f t="shared" si="120"/>
        <v>8367.7</v>
      </c>
      <c r="J628" s="70">
        <f t="shared" si="134"/>
        <v>0</v>
      </c>
      <c r="K628" s="87">
        <f t="shared" si="132"/>
        <v>8367.7</v>
      </c>
      <c r="L628" s="13">
        <f t="shared" si="134"/>
        <v>0</v>
      </c>
      <c r="M628" s="87">
        <f t="shared" si="127"/>
        <v>8367.7</v>
      </c>
      <c r="N628" s="13">
        <f t="shared" si="134"/>
        <v>0</v>
      </c>
      <c r="O628" s="87">
        <f t="shared" si="128"/>
        <v>8367.7</v>
      </c>
      <c r="P628" s="13">
        <f t="shared" si="134"/>
        <v>0</v>
      </c>
      <c r="Q628" s="87">
        <f t="shared" si="126"/>
        <v>8367.7</v>
      </c>
      <c r="R628" s="13">
        <f t="shared" si="134"/>
        <v>0</v>
      </c>
      <c r="S628" s="87">
        <f t="shared" si="133"/>
        <v>8367.7</v>
      </c>
    </row>
    <row r="629" spans="1:19" ht="33">
      <c r="A629" s="62" t="str">
        <f ca="1">IF(ISERROR(MATCH(F629,Код_КВР,0)),"",INDIRECT(ADDRESS(MATCH(F629,Код_КВР,0)+1,2,,,"КВР")))</f>
        <v>Предоставление субсидий бюджетным, автономным учреждениям и иным некоммерческим организациям</v>
      </c>
      <c r="B629" s="115">
        <v>805</v>
      </c>
      <c r="C629" s="8" t="s">
        <v>203</v>
      </c>
      <c r="D629" s="8" t="s">
        <v>222</v>
      </c>
      <c r="E629" s="115" t="s">
        <v>290</v>
      </c>
      <c r="F629" s="115">
        <v>600</v>
      </c>
      <c r="G629" s="70">
        <f t="shared" si="134"/>
        <v>8367.7</v>
      </c>
      <c r="H629" s="70">
        <f t="shared" si="134"/>
        <v>0</v>
      </c>
      <c r="I629" s="70">
        <f aca="true" t="shared" si="135" ref="I629:I708">G629+H629</f>
        <v>8367.7</v>
      </c>
      <c r="J629" s="70">
        <f t="shared" si="134"/>
        <v>0</v>
      </c>
      <c r="K629" s="87">
        <f t="shared" si="132"/>
        <v>8367.7</v>
      </c>
      <c r="L629" s="13">
        <f t="shared" si="134"/>
        <v>0</v>
      </c>
      <c r="M629" s="87">
        <f t="shared" si="127"/>
        <v>8367.7</v>
      </c>
      <c r="N629" s="13">
        <f t="shared" si="134"/>
        <v>0</v>
      </c>
      <c r="O629" s="87">
        <f t="shared" si="128"/>
        <v>8367.7</v>
      </c>
      <c r="P629" s="13">
        <f t="shared" si="134"/>
        <v>0</v>
      </c>
      <c r="Q629" s="87">
        <f t="shared" si="126"/>
        <v>8367.7</v>
      </c>
      <c r="R629" s="13">
        <f t="shared" si="134"/>
        <v>0</v>
      </c>
      <c r="S629" s="87">
        <f t="shared" si="133"/>
        <v>8367.7</v>
      </c>
    </row>
    <row r="630" spans="1:19" ht="12.75">
      <c r="A630" s="62" t="str">
        <f ca="1">IF(ISERROR(MATCH(F630,Код_КВР,0)),"",INDIRECT(ADDRESS(MATCH(F630,Код_КВР,0)+1,2,,,"КВР")))</f>
        <v>Субсидии бюджетным учреждениям</v>
      </c>
      <c r="B630" s="115">
        <v>805</v>
      </c>
      <c r="C630" s="8" t="s">
        <v>203</v>
      </c>
      <c r="D630" s="8" t="s">
        <v>222</v>
      </c>
      <c r="E630" s="115" t="s">
        <v>290</v>
      </c>
      <c r="F630" s="115">
        <v>610</v>
      </c>
      <c r="G630" s="70">
        <f t="shared" si="134"/>
        <v>8367.7</v>
      </c>
      <c r="H630" s="70">
        <f t="shared" si="134"/>
        <v>0</v>
      </c>
      <c r="I630" s="70">
        <f t="shared" si="135"/>
        <v>8367.7</v>
      </c>
      <c r="J630" s="70">
        <f t="shared" si="134"/>
        <v>0</v>
      </c>
      <c r="K630" s="87">
        <f t="shared" si="132"/>
        <v>8367.7</v>
      </c>
      <c r="L630" s="13">
        <f t="shared" si="134"/>
        <v>0</v>
      </c>
      <c r="M630" s="87">
        <f t="shared" si="127"/>
        <v>8367.7</v>
      </c>
      <c r="N630" s="13">
        <f t="shared" si="134"/>
        <v>0</v>
      </c>
      <c r="O630" s="87">
        <f t="shared" si="128"/>
        <v>8367.7</v>
      </c>
      <c r="P630" s="13">
        <f t="shared" si="134"/>
        <v>0</v>
      </c>
      <c r="Q630" s="87">
        <f t="shared" si="126"/>
        <v>8367.7</v>
      </c>
      <c r="R630" s="13">
        <f t="shared" si="134"/>
        <v>0</v>
      </c>
      <c r="S630" s="87">
        <f t="shared" si="133"/>
        <v>8367.7</v>
      </c>
    </row>
    <row r="631" spans="1:19" ht="49.5">
      <c r="A631" s="62" t="str">
        <f ca="1">IF(ISERROR(MATCH(F631,Код_КВР,0)),"",INDIRECT(ADDRESS(MATCH(F631,Код_КВР,0)+1,2,,,"КВР")))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1" s="115">
        <v>805</v>
      </c>
      <c r="C631" s="8" t="s">
        <v>203</v>
      </c>
      <c r="D631" s="8" t="s">
        <v>222</v>
      </c>
      <c r="E631" s="115" t="s">
        <v>290</v>
      </c>
      <c r="F631" s="115">
        <v>611</v>
      </c>
      <c r="G631" s="70">
        <v>8367.7</v>
      </c>
      <c r="H631" s="65"/>
      <c r="I631" s="70">
        <f t="shared" si="135"/>
        <v>8367.7</v>
      </c>
      <c r="J631" s="65"/>
      <c r="K631" s="87">
        <f t="shared" si="132"/>
        <v>8367.7</v>
      </c>
      <c r="L631" s="87"/>
      <c r="M631" s="87">
        <f t="shared" si="127"/>
        <v>8367.7</v>
      </c>
      <c r="N631" s="87"/>
      <c r="O631" s="87">
        <f t="shared" si="128"/>
        <v>8367.7</v>
      </c>
      <c r="P631" s="87"/>
      <c r="Q631" s="87">
        <f t="shared" si="126"/>
        <v>8367.7</v>
      </c>
      <c r="R631" s="87"/>
      <c r="S631" s="87">
        <f t="shared" si="133"/>
        <v>8367.7</v>
      </c>
    </row>
    <row r="632" spans="1:19" ht="33">
      <c r="A632" s="62" t="str">
        <f ca="1">IF(ISERROR(MATCH(E632,Код_КЦСР,0)),"",INDIRECT(ADDRESS(MATCH(E632,Код_КЦСР,0)+1,2,,,"КЦСР")))</f>
        <v>Формирование комплексной системы выявления, развития и поддержки одаренных детей и молодых талантов</v>
      </c>
      <c r="B632" s="115">
        <v>805</v>
      </c>
      <c r="C632" s="8" t="s">
        <v>203</v>
      </c>
      <c r="D632" s="8" t="s">
        <v>222</v>
      </c>
      <c r="E632" s="115" t="s">
        <v>291</v>
      </c>
      <c r="F632" s="115"/>
      <c r="G632" s="70">
        <f>G633</f>
        <v>458</v>
      </c>
      <c r="H632" s="70">
        <f>H633</f>
        <v>0</v>
      </c>
      <c r="I632" s="70">
        <f t="shared" si="135"/>
        <v>458</v>
      </c>
      <c r="J632" s="70">
        <f>J633</f>
        <v>0</v>
      </c>
      <c r="K632" s="87">
        <f t="shared" si="132"/>
        <v>458</v>
      </c>
      <c r="L632" s="13">
        <f>L633</f>
        <v>0</v>
      </c>
      <c r="M632" s="87">
        <f t="shared" si="127"/>
        <v>458</v>
      </c>
      <c r="N632" s="13">
        <f>N633</f>
        <v>0</v>
      </c>
      <c r="O632" s="87">
        <f t="shared" si="128"/>
        <v>458</v>
      </c>
      <c r="P632" s="13">
        <f>P633</f>
        <v>10</v>
      </c>
      <c r="Q632" s="87">
        <f t="shared" si="126"/>
        <v>468</v>
      </c>
      <c r="R632" s="13">
        <f>R633</f>
        <v>0</v>
      </c>
      <c r="S632" s="87">
        <f t="shared" si="133"/>
        <v>468</v>
      </c>
    </row>
    <row r="633" spans="1:19" ht="12.75">
      <c r="A633" s="62" t="str">
        <f ca="1">IF(ISERROR(MATCH(F633,Код_КВР,0)),"",INDIRECT(ADDRESS(MATCH(F633,Код_КВР,0)+1,2,,,"КВР")))</f>
        <v>Социальное обеспечение и иные выплаты населению</v>
      </c>
      <c r="B633" s="115">
        <v>805</v>
      </c>
      <c r="C633" s="8" t="s">
        <v>203</v>
      </c>
      <c r="D633" s="8" t="s">
        <v>222</v>
      </c>
      <c r="E633" s="115" t="s">
        <v>291</v>
      </c>
      <c r="F633" s="115">
        <v>300</v>
      </c>
      <c r="G633" s="70">
        <f>SUM(G634:G635)</f>
        <v>458</v>
      </c>
      <c r="H633" s="70">
        <f>SUM(H634:H635)</f>
        <v>0</v>
      </c>
      <c r="I633" s="70">
        <f t="shared" si="135"/>
        <v>458</v>
      </c>
      <c r="J633" s="70">
        <f>SUM(J634:J635)</f>
        <v>0</v>
      </c>
      <c r="K633" s="87">
        <f t="shared" si="132"/>
        <v>458</v>
      </c>
      <c r="L633" s="13">
        <f>SUM(L634:L635)</f>
        <v>0</v>
      </c>
      <c r="M633" s="87">
        <f t="shared" si="127"/>
        <v>458</v>
      </c>
      <c r="N633" s="13">
        <f>SUM(N634:N635)</f>
        <v>0</v>
      </c>
      <c r="O633" s="87">
        <f t="shared" si="128"/>
        <v>458</v>
      </c>
      <c r="P633" s="13">
        <f>SUM(P634:P635)</f>
        <v>10</v>
      </c>
      <c r="Q633" s="87">
        <f aca="true" t="shared" si="136" ref="Q633:Q700">O633+P633</f>
        <v>468</v>
      </c>
      <c r="R633" s="13">
        <f>SUM(R634:R635)</f>
        <v>0</v>
      </c>
      <c r="S633" s="87">
        <f t="shared" si="133"/>
        <v>468</v>
      </c>
    </row>
    <row r="634" spans="1:19" ht="12.75">
      <c r="A634" s="62" t="str">
        <f ca="1">IF(ISERROR(MATCH(F634,Код_КВР,0)),"",INDIRECT(ADDRESS(MATCH(F634,Код_КВР,0)+1,2,,,"КВР")))</f>
        <v>Стипендии</v>
      </c>
      <c r="B634" s="115">
        <v>805</v>
      </c>
      <c r="C634" s="8" t="s">
        <v>203</v>
      </c>
      <c r="D634" s="8" t="s">
        <v>222</v>
      </c>
      <c r="E634" s="115" t="s">
        <v>291</v>
      </c>
      <c r="F634" s="115">
        <v>340</v>
      </c>
      <c r="G634" s="70">
        <v>200</v>
      </c>
      <c r="H634" s="65"/>
      <c r="I634" s="70">
        <f t="shared" si="135"/>
        <v>200</v>
      </c>
      <c r="J634" s="65"/>
      <c r="K634" s="87">
        <f t="shared" si="132"/>
        <v>200</v>
      </c>
      <c r="L634" s="87"/>
      <c r="M634" s="87">
        <f t="shared" si="127"/>
        <v>200</v>
      </c>
      <c r="N634" s="87"/>
      <c r="O634" s="87">
        <f t="shared" si="128"/>
        <v>200</v>
      </c>
      <c r="P634" s="87"/>
      <c r="Q634" s="87">
        <f t="shared" si="136"/>
        <v>200</v>
      </c>
      <c r="R634" s="87"/>
      <c r="S634" s="87">
        <f t="shared" si="133"/>
        <v>200</v>
      </c>
    </row>
    <row r="635" spans="1:19" ht="12.75">
      <c r="A635" s="62" t="str">
        <f ca="1">IF(ISERROR(MATCH(F635,Код_КВР,0)),"",INDIRECT(ADDRESS(MATCH(F635,Код_КВР,0)+1,2,,,"КВР")))</f>
        <v>Премии и гранты</v>
      </c>
      <c r="B635" s="115">
        <v>805</v>
      </c>
      <c r="C635" s="8" t="s">
        <v>203</v>
      </c>
      <c r="D635" s="8" t="s">
        <v>222</v>
      </c>
      <c r="E635" s="115" t="s">
        <v>291</v>
      </c>
      <c r="F635" s="115">
        <v>350</v>
      </c>
      <c r="G635" s="70">
        <v>258</v>
      </c>
      <c r="H635" s="65"/>
      <c r="I635" s="70">
        <f t="shared" si="135"/>
        <v>258</v>
      </c>
      <c r="J635" s="65"/>
      <c r="K635" s="87">
        <f t="shared" si="132"/>
        <v>258</v>
      </c>
      <c r="L635" s="87"/>
      <c r="M635" s="87">
        <f t="shared" si="127"/>
        <v>258</v>
      </c>
      <c r="N635" s="87"/>
      <c r="O635" s="87">
        <f t="shared" si="128"/>
        <v>258</v>
      </c>
      <c r="P635" s="87">
        <v>10</v>
      </c>
      <c r="Q635" s="87">
        <f t="shared" si="136"/>
        <v>268</v>
      </c>
      <c r="R635" s="87"/>
      <c r="S635" s="87">
        <f t="shared" si="133"/>
        <v>268</v>
      </c>
    </row>
    <row r="636" spans="1:19" ht="66">
      <c r="A636" s="62" t="str">
        <f ca="1">IF(ISERROR(MATCH(E636,Код_КЦСР,0)),"",INDIRECT(ADDRESS(MATCH(E636,Код_КЦСР,0)+1,2,,,"КЦСР")))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636" s="115">
        <v>805</v>
      </c>
      <c r="C636" s="8" t="s">
        <v>203</v>
      </c>
      <c r="D636" s="8" t="s">
        <v>222</v>
      </c>
      <c r="E636" s="115" t="s">
        <v>446</v>
      </c>
      <c r="F636" s="115"/>
      <c r="G636" s="70">
        <f>G637</f>
        <v>1155626.6</v>
      </c>
      <c r="H636" s="70">
        <f>H637</f>
        <v>0</v>
      </c>
      <c r="I636" s="70">
        <f t="shared" si="135"/>
        <v>1155626.6</v>
      </c>
      <c r="J636" s="70">
        <f>J637</f>
        <v>0</v>
      </c>
      <c r="K636" s="87">
        <f t="shared" si="132"/>
        <v>1155626.6</v>
      </c>
      <c r="L636" s="13">
        <f>L637</f>
        <v>0</v>
      </c>
      <c r="M636" s="87">
        <f t="shared" si="127"/>
        <v>1155626.6</v>
      </c>
      <c r="N636" s="13">
        <f>N637</f>
        <v>0</v>
      </c>
      <c r="O636" s="87">
        <f t="shared" si="128"/>
        <v>1155626.6</v>
      </c>
      <c r="P636" s="13">
        <f>P637</f>
        <v>0</v>
      </c>
      <c r="Q636" s="87">
        <f t="shared" si="136"/>
        <v>1155626.6</v>
      </c>
      <c r="R636" s="13">
        <f>R637</f>
        <v>0</v>
      </c>
      <c r="S636" s="87">
        <f t="shared" si="133"/>
        <v>1155626.6</v>
      </c>
    </row>
    <row r="637" spans="1:19" ht="33">
      <c r="A637" s="62" t="str">
        <f aca="true" t="shared" si="137" ref="A637:A643">IF(ISERROR(MATCH(F637,Код_КВР,0)),"",INDIRECT(ADDRESS(MATCH(F637,Код_КВР,0)+1,2,,,"КВР")))</f>
        <v>Предоставление субсидий бюджетным, автономным учреждениям и иным некоммерческим организациям</v>
      </c>
      <c r="B637" s="115">
        <v>805</v>
      </c>
      <c r="C637" s="8" t="s">
        <v>203</v>
      </c>
      <c r="D637" s="8" t="s">
        <v>222</v>
      </c>
      <c r="E637" s="115" t="s">
        <v>446</v>
      </c>
      <c r="F637" s="115">
        <v>600</v>
      </c>
      <c r="G637" s="70">
        <f>G638+G641</f>
        <v>1155626.6</v>
      </c>
      <c r="H637" s="70">
        <f>H638+H641</f>
        <v>0</v>
      </c>
      <c r="I637" s="70">
        <f t="shared" si="135"/>
        <v>1155626.6</v>
      </c>
      <c r="J637" s="70">
        <f>J638+J641</f>
        <v>0</v>
      </c>
      <c r="K637" s="87">
        <f t="shared" si="132"/>
        <v>1155626.6</v>
      </c>
      <c r="L637" s="13">
        <f>L638+L641</f>
        <v>0</v>
      </c>
      <c r="M637" s="87">
        <f t="shared" si="127"/>
        <v>1155626.6</v>
      </c>
      <c r="N637" s="13">
        <f>N638+N641</f>
        <v>0</v>
      </c>
      <c r="O637" s="87">
        <f t="shared" si="128"/>
        <v>1155626.6</v>
      </c>
      <c r="P637" s="13">
        <f>P638+P641</f>
        <v>0</v>
      </c>
      <c r="Q637" s="87">
        <f t="shared" si="136"/>
        <v>1155626.6</v>
      </c>
      <c r="R637" s="13">
        <f>R638+R641</f>
        <v>0</v>
      </c>
      <c r="S637" s="87">
        <f t="shared" si="133"/>
        <v>1155626.6</v>
      </c>
    </row>
    <row r="638" spans="1:19" ht="12.75">
      <c r="A638" s="62" t="str">
        <f ca="1" t="shared" si="137"/>
        <v>Субсидии бюджетным учреждениям</v>
      </c>
      <c r="B638" s="115">
        <v>805</v>
      </c>
      <c r="C638" s="8" t="s">
        <v>203</v>
      </c>
      <c r="D638" s="8" t="s">
        <v>222</v>
      </c>
      <c r="E638" s="115" t="s">
        <v>446</v>
      </c>
      <c r="F638" s="115">
        <v>610</v>
      </c>
      <c r="G638" s="70">
        <f>G639</f>
        <v>1133628.3</v>
      </c>
      <c r="H638" s="70">
        <f>H639</f>
        <v>0</v>
      </c>
      <c r="I638" s="70">
        <f t="shared" si="135"/>
        <v>1133628.3</v>
      </c>
      <c r="J638" s="70">
        <f>J639</f>
        <v>0</v>
      </c>
      <c r="K638" s="87">
        <f t="shared" si="132"/>
        <v>1133628.3</v>
      </c>
      <c r="L638" s="13">
        <f>L639</f>
        <v>0</v>
      </c>
      <c r="M638" s="87">
        <f t="shared" si="127"/>
        <v>1133628.3</v>
      </c>
      <c r="N638" s="13">
        <f>N639</f>
        <v>0</v>
      </c>
      <c r="O638" s="87">
        <f t="shared" si="128"/>
        <v>1133628.3</v>
      </c>
      <c r="P638" s="13">
        <f>P639</f>
        <v>0</v>
      </c>
      <c r="Q638" s="87">
        <f t="shared" si="136"/>
        <v>1133628.3</v>
      </c>
      <c r="R638" s="13">
        <f>R639+R640</f>
        <v>0</v>
      </c>
      <c r="S638" s="87">
        <f t="shared" si="133"/>
        <v>1133628.3</v>
      </c>
    </row>
    <row r="639" spans="1:19" ht="49.5">
      <c r="A639" s="62" t="str">
        <f ca="1" t="shared" si="13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9" s="115">
        <v>805</v>
      </c>
      <c r="C639" s="8" t="s">
        <v>203</v>
      </c>
      <c r="D639" s="8" t="s">
        <v>222</v>
      </c>
      <c r="E639" s="115" t="s">
        <v>446</v>
      </c>
      <c r="F639" s="115">
        <v>611</v>
      </c>
      <c r="G639" s="70">
        <f>1055697.5+77930.8</f>
        <v>1133628.3</v>
      </c>
      <c r="H639" s="65"/>
      <c r="I639" s="70">
        <f t="shared" si="135"/>
        <v>1133628.3</v>
      </c>
      <c r="J639" s="65"/>
      <c r="K639" s="87">
        <f t="shared" si="132"/>
        <v>1133628.3</v>
      </c>
      <c r="L639" s="87"/>
      <c r="M639" s="87">
        <f t="shared" si="127"/>
        <v>1133628.3</v>
      </c>
      <c r="N639" s="87"/>
      <c r="O639" s="87">
        <f t="shared" si="128"/>
        <v>1133628.3</v>
      </c>
      <c r="P639" s="87"/>
      <c r="Q639" s="87">
        <f t="shared" si="136"/>
        <v>1133628.3</v>
      </c>
      <c r="R639" s="87">
        <v>-16910.8</v>
      </c>
      <c r="S639" s="87">
        <f t="shared" si="133"/>
        <v>1116717.5</v>
      </c>
    </row>
    <row r="640" spans="1:19" s="94" customFormat="1" ht="12.75">
      <c r="A640" s="62" t="str">
        <f ca="1" t="shared" si="137"/>
        <v>Субсидии бюджетным учреждениям на иные цели</v>
      </c>
      <c r="B640" s="120">
        <v>805</v>
      </c>
      <c r="C640" s="8" t="s">
        <v>203</v>
      </c>
      <c r="D640" s="8" t="s">
        <v>222</v>
      </c>
      <c r="E640" s="120" t="s">
        <v>446</v>
      </c>
      <c r="F640" s="120">
        <v>612</v>
      </c>
      <c r="G640" s="70"/>
      <c r="H640" s="65"/>
      <c r="I640" s="70"/>
      <c r="J640" s="65"/>
      <c r="K640" s="87"/>
      <c r="L640" s="87"/>
      <c r="M640" s="87"/>
      <c r="N640" s="87"/>
      <c r="O640" s="87"/>
      <c r="P640" s="87"/>
      <c r="Q640" s="87">
        <f t="shared" si="136"/>
        <v>0</v>
      </c>
      <c r="R640" s="87">
        <v>16910.8</v>
      </c>
      <c r="S640" s="87">
        <f t="shared" si="133"/>
        <v>16910.8</v>
      </c>
    </row>
    <row r="641" spans="1:19" ht="12.75">
      <c r="A641" s="62" t="str">
        <f ca="1" t="shared" si="137"/>
        <v>Субсидии автономным учреждениям</v>
      </c>
      <c r="B641" s="115">
        <v>805</v>
      </c>
      <c r="C641" s="8" t="s">
        <v>203</v>
      </c>
      <c r="D641" s="8" t="s">
        <v>222</v>
      </c>
      <c r="E641" s="115" t="s">
        <v>446</v>
      </c>
      <c r="F641" s="115">
        <v>620</v>
      </c>
      <c r="G641" s="70">
        <f>G642</f>
        <v>21998.3</v>
      </c>
      <c r="H641" s="70">
        <f>H642</f>
        <v>0</v>
      </c>
      <c r="I641" s="70">
        <f t="shared" si="135"/>
        <v>21998.3</v>
      </c>
      <c r="J641" s="70">
        <f>J642</f>
        <v>0</v>
      </c>
      <c r="K641" s="87">
        <f t="shared" si="132"/>
        <v>21998.3</v>
      </c>
      <c r="L641" s="13">
        <f>L642</f>
        <v>0</v>
      </c>
      <c r="M641" s="87">
        <f t="shared" si="127"/>
        <v>21998.3</v>
      </c>
      <c r="N641" s="13">
        <f>N642</f>
        <v>0</v>
      </c>
      <c r="O641" s="87">
        <f t="shared" si="128"/>
        <v>21998.3</v>
      </c>
      <c r="P641" s="13">
        <f>P642</f>
        <v>0</v>
      </c>
      <c r="Q641" s="87">
        <f t="shared" si="136"/>
        <v>21998.3</v>
      </c>
      <c r="R641" s="13">
        <f>R642+R643</f>
        <v>0</v>
      </c>
      <c r="S641" s="87">
        <f t="shared" si="133"/>
        <v>21998.3</v>
      </c>
    </row>
    <row r="642" spans="1:19" ht="49.5">
      <c r="A642" s="62" t="str">
        <f ca="1" t="shared" si="137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42" s="115">
        <v>805</v>
      </c>
      <c r="C642" s="8" t="s">
        <v>203</v>
      </c>
      <c r="D642" s="8" t="s">
        <v>222</v>
      </c>
      <c r="E642" s="115" t="s">
        <v>446</v>
      </c>
      <c r="F642" s="115">
        <v>621</v>
      </c>
      <c r="G642" s="70">
        <v>21998.3</v>
      </c>
      <c r="H642" s="65"/>
      <c r="I642" s="70">
        <f t="shared" si="135"/>
        <v>21998.3</v>
      </c>
      <c r="J642" s="65"/>
      <c r="K642" s="87">
        <f t="shared" si="132"/>
        <v>21998.3</v>
      </c>
      <c r="L642" s="87"/>
      <c r="M642" s="87">
        <f t="shared" si="127"/>
        <v>21998.3</v>
      </c>
      <c r="N642" s="87"/>
      <c r="O642" s="87">
        <f t="shared" si="128"/>
        <v>21998.3</v>
      </c>
      <c r="P642" s="87"/>
      <c r="Q642" s="87">
        <f t="shared" si="136"/>
        <v>21998.3</v>
      </c>
      <c r="R642" s="87">
        <v>-400.8</v>
      </c>
      <c r="S642" s="87">
        <f t="shared" si="133"/>
        <v>21597.5</v>
      </c>
    </row>
    <row r="643" spans="1:19" s="94" customFormat="1" ht="12.75">
      <c r="A643" s="62" t="str">
        <f ca="1" t="shared" si="137"/>
        <v>Субсидии автономным учреждениям на иные цели</v>
      </c>
      <c r="B643" s="120">
        <v>805</v>
      </c>
      <c r="C643" s="8" t="s">
        <v>203</v>
      </c>
      <c r="D643" s="8" t="s">
        <v>222</v>
      </c>
      <c r="E643" s="120" t="s">
        <v>446</v>
      </c>
      <c r="F643" s="120">
        <v>622</v>
      </c>
      <c r="G643" s="70"/>
      <c r="H643" s="65"/>
      <c r="I643" s="70"/>
      <c r="J643" s="65"/>
      <c r="K643" s="87"/>
      <c r="L643" s="87"/>
      <c r="M643" s="87"/>
      <c r="N643" s="87"/>
      <c r="O643" s="87"/>
      <c r="P643" s="87"/>
      <c r="Q643" s="87">
        <f t="shared" si="136"/>
        <v>0</v>
      </c>
      <c r="R643" s="87">
        <v>400.8</v>
      </c>
      <c r="S643" s="87">
        <f t="shared" si="133"/>
        <v>400.8</v>
      </c>
    </row>
    <row r="644" spans="1:19" ht="97.5" customHeight="1">
      <c r="A644" s="62" t="str">
        <f ca="1">IF(ISERROR(MATCH(E644,Код_КЦСР,0)),"",INDIRECT(ADDRESS(MATCH(E644,Код_КЦСР,0)+1,2,,,"КЦСР")))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44" s="115">
        <v>805</v>
      </c>
      <c r="C644" s="8" t="s">
        <v>203</v>
      </c>
      <c r="D644" s="8" t="s">
        <v>222</v>
      </c>
      <c r="E644" s="115" t="s">
        <v>445</v>
      </c>
      <c r="F644" s="115"/>
      <c r="G644" s="70">
        <f>G645</f>
        <v>18111.4</v>
      </c>
      <c r="H644" s="70">
        <f>H645</f>
        <v>0</v>
      </c>
      <c r="I644" s="70">
        <f>G644+H644</f>
        <v>18111.4</v>
      </c>
      <c r="J644" s="70">
        <f>J645</f>
        <v>-7173</v>
      </c>
      <c r="K644" s="87">
        <f>I644+J644</f>
        <v>10938.400000000001</v>
      </c>
      <c r="L644" s="13">
        <f>L645</f>
        <v>0</v>
      </c>
      <c r="M644" s="87">
        <f t="shared" si="127"/>
        <v>10938.400000000001</v>
      </c>
      <c r="N644" s="13">
        <f>N645</f>
        <v>0</v>
      </c>
      <c r="O644" s="87">
        <f t="shared" si="128"/>
        <v>10938.400000000001</v>
      </c>
      <c r="P644" s="13">
        <f>P645</f>
        <v>0</v>
      </c>
      <c r="Q644" s="87">
        <f t="shared" si="136"/>
        <v>10938.400000000001</v>
      </c>
      <c r="R644" s="13">
        <f>R645</f>
        <v>0</v>
      </c>
      <c r="S644" s="87">
        <f t="shared" si="133"/>
        <v>10938.400000000001</v>
      </c>
    </row>
    <row r="645" spans="1:19" ht="33">
      <c r="A645" s="62" t="str">
        <f ca="1">IF(ISERROR(MATCH(F645,Код_КВР,0)),"",INDIRECT(ADDRESS(MATCH(F645,Код_КВР,0)+1,2,,,"КВР")))</f>
        <v>Предоставление субсидий бюджетным, автономным учреждениям и иным некоммерческим организациям</v>
      </c>
      <c r="B645" s="115">
        <v>805</v>
      </c>
      <c r="C645" s="8" t="s">
        <v>203</v>
      </c>
      <c r="D645" s="8" t="s">
        <v>222</v>
      </c>
      <c r="E645" s="115" t="s">
        <v>445</v>
      </c>
      <c r="F645" s="115">
        <v>600</v>
      </c>
      <c r="G645" s="70">
        <f>G646</f>
        <v>18111.4</v>
      </c>
      <c r="H645" s="70">
        <f>H646</f>
        <v>0</v>
      </c>
      <c r="I645" s="70">
        <f t="shared" si="135"/>
        <v>18111.4</v>
      </c>
      <c r="J645" s="70">
        <f>J646</f>
        <v>-7173</v>
      </c>
      <c r="K645" s="87">
        <f t="shared" si="132"/>
        <v>10938.400000000001</v>
      </c>
      <c r="L645" s="13">
        <f>L646</f>
        <v>0</v>
      </c>
      <c r="M645" s="87">
        <f t="shared" si="127"/>
        <v>10938.400000000001</v>
      </c>
      <c r="N645" s="13">
        <f>N646</f>
        <v>0</v>
      </c>
      <c r="O645" s="87">
        <f t="shared" si="128"/>
        <v>10938.400000000001</v>
      </c>
      <c r="P645" s="13">
        <f>P646</f>
        <v>0</v>
      </c>
      <c r="Q645" s="87">
        <f t="shared" si="136"/>
        <v>10938.400000000001</v>
      </c>
      <c r="R645" s="13">
        <f>R646+R649</f>
        <v>0</v>
      </c>
      <c r="S645" s="87">
        <f t="shared" si="133"/>
        <v>10938.400000000001</v>
      </c>
    </row>
    <row r="646" spans="1:19" ht="12.75">
      <c r="A646" s="62" t="str">
        <f ca="1">IF(ISERROR(MATCH(F646,Код_КВР,0)),"",INDIRECT(ADDRESS(MATCH(F646,Код_КВР,0)+1,2,,,"КВР")))</f>
        <v>Субсидии бюджетным учреждениям</v>
      </c>
      <c r="B646" s="115">
        <v>805</v>
      </c>
      <c r="C646" s="8" t="s">
        <v>203</v>
      </c>
      <c r="D646" s="8" t="s">
        <v>222</v>
      </c>
      <c r="E646" s="115" t="s">
        <v>445</v>
      </c>
      <c r="F646" s="115">
        <v>610</v>
      </c>
      <c r="G646" s="70">
        <f>G647</f>
        <v>18111.4</v>
      </c>
      <c r="H646" s="65"/>
      <c r="I646" s="70">
        <f t="shared" si="135"/>
        <v>18111.4</v>
      </c>
      <c r="J646" s="65">
        <f>J647</f>
        <v>-7173</v>
      </c>
      <c r="K646" s="87">
        <f t="shared" si="132"/>
        <v>10938.400000000001</v>
      </c>
      <c r="L646" s="87">
        <f>L647</f>
        <v>0</v>
      </c>
      <c r="M646" s="87">
        <f t="shared" si="127"/>
        <v>10938.400000000001</v>
      </c>
      <c r="N646" s="87">
        <f>N647</f>
        <v>0</v>
      </c>
      <c r="O646" s="87">
        <f t="shared" si="128"/>
        <v>10938.400000000001</v>
      </c>
      <c r="P646" s="87">
        <f>P647</f>
        <v>0</v>
      </c>
      <c r="Q646" s="87">
        <f t="shared" si="136"/>
        <v>10938.400000000001</v>
      </c>
      <c r="R646" s="13">
        <f>R648+R647</f>
        <v>0</v>
      </c>
      <c r="S646" s="87">
        <f>Q646+R646</f>
        <v>10938.400000000001</v>
      </c>
    </row>
    <row r="647" spans="1:19" ht="49.5">
      <c r="A647" s="62" t="str">
        <f ca="1">IF(ISERROR(MATCH(F647,Код_КВР,0)),"",INDIRECT(ADDRESS(MATCH(F647,Код_КВР,0)+1,2,,,"КВР")))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7" s="115">
        <v>805</v>
      </c>
      <c r="C647" s="8" t="s">
        <v>203</v>
      </c>
      <c r="D647" s="8" t="s">
        <v>222</v>
      </c>
      <c r="E647" s="115" t="s">
        <v>445</v>
      </c>
      <c r="F647" s="115">
        <v>611</v>
      </c>
      <c r="G647" s="70">
        <v>18111.4</v>
      </c>
      <c r="H647" s="65"/>
      <c r="I647" s="70">
        <f t="shared" si="135"/>
        <v>18111.4</v>
      </c>
      <c r="J647" s="65">
        <f>-5464.6-1708.4</f>
        <v>-7173</v>
      </c>
      <c r="K647" s="87">
        <f t="shared" si="132"/>
        <v>10938.400000000001</v>
      </c>
      <c r="L647" s="87"/>
      <c r="M647" s="87">
        <f t="shared" si="127"/>
        <v>10938.400000000001</v>
      </c>
      <c r="N647" s="87"/>
      <c r="O647" s="87">
        <f t="shared" si="128"/>
        <v>10938.400000000001</v>
      </c>
      <c r="P647" s="87"/>
      <c r="Q647" s="87">
        <f t="shared" si="136"/>
        <v>10938.400000000001</v>
      </c>
      <c r="R647" s="13"/>
      <c r="S647" s="87">
        <f>Q647+R647</f>
        <v>10938.400000000001</v>
      </c>
    </row>
    <row r="648" spans="1:19" s="94" customFormat="1" ht="12.75" hidden="1">
      <c r="A648" s="62" t="str">
        <f ca="1">IF(ISERROR(MATCH(F648,Код_КВР,0)),"",INDIRECT(ADDRESS(MATCH(F648,Код_КВР,0)+1,2,,,"КВР")))</f>
        <v>Субсидии бюджетным учреждениям на иные цели</v>
      </c>
      <c r="B648" s="120">
        <v>805</v>
      </c>
      <c r="C648" s="8" t="s">
        <v>203</v>
      </c>
      <c r="D648" s="8" t="s">
        <v>222</v>
      </c>
      <c r="E648" s="120" t="s">
        <v>445</v>
      </c>
      <c r="F648" s="120">
        <v>612</v>
      </c>
      <c r="G648" s="70"/>
      <c r="H648" s="65"/>
      <c r="I648" s="70"/>
      <c r="J648" s="65"/>
      <c r="K648" s="87"/>
      <c r="L648" s="87"/>
      <c r="M648" s="87"/>
      <c r="N648" s="87"/>
      <c r="O648" s="87"/>
      <c r="P648" s="87"/>
      <c r="Q648" s="87">
        <f t="shared" si="136"/>
        <v>0</v>
      </c>
      <c r="R648" s="13"/>
      <c r="S648" s="87">
        <f t="shared" si="133"/>
        <v>0</v>
      </c>
    </row>
    <row r="649" spans="1:19" s="94" customFormat="1" ht="12.75" hidden="1">
      <c r="A649" s="62" t="str">
        <f ca="1">IF(ISERROR(MATCH(F649,Код_КВР,0)),"",INDIRECT(ADDRESS(MATCH(F649,Код_КВР,0)+1,2,,,"КВР")))</f>
        <v>Субсидии автономным учреждениям на иные цели</v>
      </c>
      <c r="B649" s="120">
        <v>805</v>
      </c>
      <c r="C649" s="8" t="s">
        <v>203</v>
      </c>
      <c r="D649" s="8" t="s">
        <v>222</v>
      </c>
      <c r="E649" s="120" t="s">
        <v>445</v>
      </c>
      <c r="F649" s="120">
        <v>622</v>
      </c>
      <c r="G649" s="70"/>
      <c r="H649" s="65"/>
      <c r="I649" s="70"/>
      <c r="J649" s="65"/>
      <c r="K649" s="87"/>
      <c r="L649" s="87"/>
      <c r="M649" s="87"/>
      <c r="N649" s="87"/>
      <c r="O649" s="87"/>
      <c r="P649" s="87"/>
      <c r="Q649" s="87">
        <f t="shared" si="136"/>
        <v>0</v>
      </c>
      <c r="R649" s="13"/>
      <c r="S649" s="87">
        <f t="shared" si="133"/>
        <v>0</v>
      </c>
    </row>
    <row r="650" spans="1:19" ht="12.75">
      <c r="A650" s="62" t="str">
        <f ca="1">IF(ISERROR(MATCH(E650,Код_КЦСР,0)),"",INDIRECT(ADDRESS(MATCH(E650,Код_КЦСР,0)+1,2,,,"КЦСР")))</f>
        <v>Дополнительное образование</v>
      </c>
      <c r="B650" s="115">
        <v>805</v>
      </c>
      <c r="C650" s="8" t="s">
        <v>203</v>
      </c>
      <c r="D650" s="8" t="s">
        <v>222</v>
      </c>
      <c r="E650" s="115" t="s">
        <v>293</v>
      </c>
      <c r="F650" s="115"/>
      <c r="G650" s="70">
        <f>G651+G655</f>
        <v>90080.2</v>
      </c>
      <c r="H650" s="70">
        <f>H651+H655</f>
        <v>0</v>
      </c>
      <c r="I650" s="70">
        <f t="shared" si="135"/>
        <v>90080.2</v>
      </c>
      <c r="J650" s="70">
        <f>J651+J655</f>
        <v>0</v>
      </c>
      <c r="K650" s="87">
        <f t="shared" si="132"/>
        <v>90080.2</v>
      </c>
      <c r="L650" s="13">
        <f>L651+L655</f>
        <v>-77</v>
      </c>
      <c r="M650" s="87">
        <f t="shared" si="127"/>
        <v>90003.2</v>
      </c>
      <c r="N650" s="13">
        <f>N651+N655</f>
        <v>0</v>
      </c>
      <c r="O650" s="87">
        <f t="shared" si="128"/>
        <v>90003.2</v>
      </c>
      <c r="P650" s="13">
        <f>P651+P655</f>
        <v>0</v>
      </c>
      <c r="Q650" s="87">
        <f t="shared" si="136"/>
        <v>90003.2</v>
      </c>
      <c r="R650" s="13">
        <f>R651+R655</f>
        <v>0</v>
      </c>
      <c r="S650" s="87">
        <f t="shared" si="133"/>
        <v>90003.2</v>
      </c>
    </row>
    <row r="651" spans="1:19" ht="12.75">
      <c r="A651" s="62" t="str">
        <f ca="1">IF(ISERROR(MATCH(E651,Код_КЦСР,0)),"",INDIRECT(ADDRESS(MATCH(E651,Код_КЦСР,0)+1,2,,,"КЦСР")))</f>
        <v xml:space="preserve">Организация предоставления дополнительного образования детям </v>
      </c>
      <c r="B651" s="115">
        <v>805</v>
      </c>
      <c r="C651" s="8" t="s">
        <v>203</v>
      </c>
      <c r="D651" s="8" t="s">
        <v>222</v>
      </c>
      <c r="E651" s="115" t="s">
        <v>295</v>
      </c>
      <c r="F651" s="115"/>
      <c r="G651" s="70">
        <f aca="true" t="shared" si="138" ref="G651:R653">G652</f>
        <v>88222.7</v>
      </c>
      <c r="H651" s="70">
        <f t="shared" si="138"/>
        <v>0</v>
      </c>
      <c r="I651" s="70">
        <f t="shared" si="135"/>
        <v>88222.7</v>
      </c>
      <c r="J651" s="70">
        <f t="shared" si="138"/>
        <v>0</v>
      </c>
      <c r="K651" s="87">
        <f t="shared" si="132"/>
        <v>88222.7</v>
      </c>
      <c r="L651" s="13">
        <f t="shared" si="138"/>
        <v>-77</v>
      </c>
      <c r="M651" s="87">
        <f t="shared" si="127"/>
        <v>88145.7</v>
      </c>
      <c r="N651" s="13">
        <f t="shared" si="138"/>
        <v>0</v>
      </c>
      <c r="O651" s="87">
        <f t="shared" si="128"/>
        <v>88145.7</v>
      </c>
      <c r="P651" s="13">
        <f t="shared" si="138"/>
        <v>0</v>
      </c>
      <c r="Q651" s="87">
        <f t="shared" si="136"/>
        <v>88145.7</v>
      </c>
      <c r="R651" s="13">
        <f t="shared" si="138"/>
        <v>0</v>
      </c>
      <c r="S651" s="87">
        <f t="shared" si="133"/>
        <v>88145.7</v>
      </c>
    </row>
    <row r="652" spans="1:19" ht="33">
      <c r="A652" s="62" t="str">
        <f ca="1">IF(ISERROR(MATCH(F652,Код_КВР,0)),"",INDIRECT(ADDRESS(MATCH(F652,Код_КВР,0)+1,2,,,"КВР")))</f>
        <v>Предоставление субсидий бюджетным, автономным учреждениям и иным некоммерческим организациям</v>
      </c>
      <c r="B652" s="115">
        <v>805</v>
      </c>
      <c r="C652" s="8" t="s">
        <v>203</v>
      </c>
      <c r="D652" s="8" t="s">
        <v>222</v>
      </c>
      <c r="E652" s="115" t="s">
        <v>295</v>
      </c>
      <c r="F652" s="115">
        <v>600</v>
      </c>
      <c r="G652" s="70">
        <f t="shared" si="138"/>
        <v>88222.7</v>
      </c>
      <c r="H652" s="70">
        <f t="shared" si="138"/>
        <v>0</v>
      </c>
      <c r="I652" s="70">
        <f t="shared" si="135"/>
        <v>88222.7</v>
      </c>
      <c r="J652" s="70">
        <f t="shared" si="138"/>
        <v>0</v>
      </c>
      <c r="K652" s="87">
        <f t="shared" si="132"/>
        <v>88222.7</v>
      </c>
      <c r="L652" s="13">
        <f t="shared" si="138"/>
        <v>-77</v>
      </c>
      <c r="M652" s="87">
        <f t="shared" si="127"/>
        <v>88145.7</v>
      </c>
      <c r="N652" s="13">
        <f t="shared" si="138"/>
        <v>0</v>
      </c>
      <c r="O652" s="87">
        <f t="shared" si="128"/>
        <v>88145.7</v>
      </c>
      <c r="P652" s="13">
        <f t="shared" si="138"/>
        <v>0</v>
      </c>
      <c r="Q652" s="87">
        <f t="shared" si="136"/>
        <v>88145.7</v>
      </c>
      <c r="R652" s="13">
        <f t="shared" si="138"/>
        <v>0</v>
      </c>
      <c r="S652" s="87">
        <f t="shared" si="133"/>
        <v>88145.7</v>
      </c>
    </row>
    <row r="653" spans="1:19" ht="12.75">
      <c r="A653" s="62" t="str">
        <f ca="1">IF(ISERROR(MATCH(F653,Код_КВР,0)),"",INDIRECT(ADDRESS(MATCH(F653,Код_КВР,0)+1,2,,,"КВР")))</f>
        <v>Субсидии бюджетным учреждениям</v>
      </c>
      <c r="B653" s="115">
        <v>805</v>
      </c>
      <c r="C653" s="8" t="s">
        <v>203</v>
      </c>
      <c r="D653" s="8" t="s">
        <v>222</v>
      </c>
      <c r="E653" s="115" t="s">
        <v>295</v>
      </c>
      <c r="F653" s="115">
        <v>610</v>
      </c>
      <c r="G653" s="70">
        <f t="shared" si="138"/>
        <v>88222.7</v>
      </c>
      <c r="H653" s="70">
        <f t="shared" si="138"/>
        <v>0</v>
      </c>
      <c r="I653" s="70">
        <f t="shared" si="135"/>
        <v>88222.7</v>
      </c>
      <c r="J653" s="70">
        <f t="shared" si="138"/>
        <v>0</v>
      </c>
      <c r="K653" s="87">
        <f t="shared" si="132"/>
        <v>88222.7</v>
      </c>
      <c r="L653" s="13">
        <f t="shared" si="138"/>
        <v>-77</v>
      </c>
      <c r="M653" s="87">
        <f t="shared" si="127"/>
        <v>88145.7</v>
      </c>
      <c r="N653" s="13">
        <f t="shared" si="138"/>
        <v>0</v>
      </c>
      <c r="O653" s="87">
        <f t="shared" si="128"/>
        <v>88145.7</v>
      </c>
      <c r="P653" s="13">
        <f t="shared" si="138"/>
        <v>0</v>
      </c>
      <c r="Q653" s="87">
        <f t="shared" si="136"/>
        <v>88145.7</v>
      </c>
      <c r="R653" s="13">
        <f t="shared" si="138"/>
        <v>0</v>
      </c>
      <c r="S653" s="87">
        <f t="shared" si="133"/>
        <v>88145.7</v>
      </c>
    </row>
    <row r="654" spans="1:19" ht="49.5">
      <c r="A654" s="62" t="str">
        <f ca="1">IF(ISERROR(MATCH(F654,Код_КВР,0)),"",INDIRECT(ADDRESS(MATCH(F654,Код_КВР,0)+1,2,,,"КВР")))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4" s="115">
        <v>805</v>
      </c>
      <c r="C654" s="8" t="s">
        <v>203</v>
      </c>
      <c r="D654" s="8" t="s">
        <v>222</v>
      </c>
      <c r="E654" s="115" t="s">
        <v>295</v>
      </c>
      <c r="F654" s="115">
        <v>611</v>
      </c>
      <c r="G654" s="70">
        <v>88222.7</v>
      </c>
      <c r="H654" s="65"/>
      <c r="I654" s="70">
        <f t="shared" si="135"/>
        <v>88222.7</v>
      </c>
      <c r="J654" s="65"/>
      <c r="K654" s="87">
        <f t="shared" si="132"/>
        <v>88222.7</v>
      </c>
      <c r="L654" s="87">
        <v>-77</v>
      </c>
      <c r="M654" s="87">
        <f t="shared" si="127"/>
        <v>88145.7</v>
      </c>
      <c r="N654" s="87"/>
      <c r="O654" s="87">
        <f t="shared" si="128"/>
        <v>88145.7</v>
      </c>
      <c r="P654" s="87"/>
      <c r="Q654" s="87">
        <f t="shared" si="136"/>
        <v>88145.7</v>
      </c>
      <c r="R654" s="87"/>
      <c r="S654" s="87">
        <f t="shared" si="133"/>
        <v>88145.7</v>
      </c>
    </row>
    <row r="655" spans="1:19" ht="63.75" customHeight="1">
      <c r="A655" s="62" t="str">
        <f ca="1">IF(ISERROR(MATCH(E655,Код_КЦСР,0)),"",INDIRECT(ADDRESS(MATCH(E655,Код_КЦСР,0)+1,2,,,"КЦСР")))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655" s="115">
        <v>805</v>
      </c>
      <c r="C655" s="8" t="s">
        <v>203</v>
      </c>
      <c r="D655" s="8" t="s">
        <v>222</v>
      </c>
      <c r="E655" s="115" t="s">
        <v>111</v>
      </c>
      <c r="F655" s="115"/>
      <c r="G655" s="70">
        <f aca="true" t="shared" si="139" ref="G655:R657">G656</f>
        <v>1857.5</v>
      </c>
      <c r="H655" s="70">
        <f t="shared" si="139"/>
        <v>0</v>
      </c>
      <c r="I655" s="70">
        <f t="shared" si="135"/>
        <v>1857.5</v>
      </c>
      <c r="J655" s="70">
        <f t="shared" si="139"/>
        <v>0</v>
      </c>
      <c r="K655" s="87">
        <f t="shared" si="132"/>
        <v>1857.5</v>
      </c>
      <c r="L655" s="13">
        <f t="shared" si="139"/>
        <v>0</v>
      </c>
      <c r="M655" s="87">
        <f aca="true" t="shared" si="140" ref="M655:M723">K655+L655</f>
        <v>1857.5</v>
      </c>
      <c r="N655" s="13">
        <f t="shared" si="139"/>
        <v>0</v>
      </c>
      <c r="O655" s="87">
        <f aca="true" t="shared" si="141" ref="O655:O723">M655+N655</f>
        <v>1857.5</v>
      </c>
      <c r="P655" s="13">
        <f t="shared" si="139"/>
        <v>0</v>
      </c>
      <c r="Q655" s="87">
        <f t="shared" si="136"/>
        <v>1857.5</v>
      </c>
      <c r="R655" s="13">
        <f t="shared" si="139"/>
        <v>0</v>
      </c>
      <c r="S655" s="87">
        <f t="shared" si="133"/>
        <v>1857.5</v>
      </c>
    </row>
    <row r="656" spans="1:19" ht="33">
      <c r="A656" s="62" t="str">
        <f ca="1">IF(ISERROR(MATCH(F656,Код_КВР,0)),"",INDIRECT(ADDRESS(MATCH(F656,Код_КВР,0)+1,2,,,"КВР")))</f>
        <v>Предоставление субсидий бюджетным, автономным учреждениям и иным некоммерческим организациям</v>
      </c>
      <c r="B656" s="115">
        <v>805</v>
      </c>
      <c r="C656" s="8" t="s">
        <v>203</v>
      </c>
      <c r="D656" s="8" t="s">
        <v>222</v>
      </c>
      <c r="E656" s="115" t="s">
        <v>111</v>
      </c>
      <c r="F656" s="115">
        <v>600</v>
      </c>
      <c r="G656" s="70">
        <f t="shared" si="139"/>
        <v>1857.5</v>
      </c>
      <c r="H656" s="70">
        <f t="shared" si="139"/>
        <v>0</v>
      </c>
      <c r="I656" s="70">
        <f t="shared" si="135"/>
        <v>1857.5</v>
      </c>
      <c r="J656" s="70">
        <f t="shared" si="139"/>
        <v>0</v>
      </c>
      <c r="K656" s="87">
        <f t="shared" si="132"/>
        <v>1857.5</v>
      </c>
      <c r="L656" s="13">
        <f t="shared" si="139"/>
        <v>0</v>
      </c>
      <c r="M656" s="87">
        <f t="shared" si="140"/>
        <v>1857.5</v>
      </c>
      <c r="N656" s="13">
        <f t="shared" si="139"/>
        <v>0</v>
      </c>
      <c r="O656" s="87">
        <f t="shared" si="141"/>
        <v>1857.5</v>
      </c>
      <c r="P656" s="13">
        <f t="shared" si="139"/>
        <v>0</v>
      </c>
      <c r="Q656" s="87">
        <f t="shared" si="136"/>
        <v>1857.5</v>
      </c>
      <c r="R656" s="13">
        <f t="shared" si="139"/>
        <v>0</v>
      </c>
      <c r="S656" s="87">
        <f t="shared" si="133"/>
        <v>1857.5</v>
      </c>
    </row>
    <row r="657" spans="1:19" ht="12.75">
      <c r="A657" s="62" t="str">
        <f ca="1">IF(ISERROR(MATCH(F657,Код_КВР,0)),"",INDIRECT(ADDRESS(MATCH(F657,Код_КВР,0)+1,2,,,"КВР")))</f>
        <v>Субсидии бюджетным учреждениям</v>
      </c>
      <c r="B657" s="115">
        <v>805</v>
      </c>
      <c r="C657" s="8" t="s">
        <v>203</v>
      </c>
      <c r="D657" s="8" t="s">
        <v>222</v>
      </c>
      <c r="E657" s="115" t="s">
        <v>111</v>
      </c>
      <c r="F657" s="115">
        <v>610</v>
      </c>
      <c r="G657" s="70">
        <f t="shared" si="139"/>
        <v>1857.5</v>
      </c>
      <c r="H657" s="70">
        <f t="shared" si="139"/>
        <v>0</v>
      </c>
      <c r="I657" s="70">
        <f t="shared" si="135"/>
        <v>1857.5</v>
      </c>
      <c r="J657" s="70">
        <f t="shared" si="139"/>
        <v>0</v>
      </c>
      <c r="K657" s="87">
        <f t="shared" si="132"/>
        <v>1857.5</v>
      </c>
      <c r="L657" s="13">
        <f t="shared" si="139"/>
        <v>0</v>
      </c>
      <c r="M657" s="87">
        <f t="shared" si="140"/>
        <v>1857.5</v>
      </c>
      <c r="N657" s="13">
        <f t="shared" si="139"/>
        <v>0</v>
      </c>
      <c r="O657" s="87">
        <f t="shared" si="141"/>
        <v>1857.5</v>
      </c>
      <c r="P657" s="13">
        <f t="shared" si="139"/>
        <v>0</v>
      </c>
      <c r="Q657" s="87">
        <f t="shared" si="136"/>
        <v>1857.5</v>
      </c>
      <c r="R657" s="13">
        <f t="shared" si="139"/>
        <v>0</v>
      </c>
      <c r="S657" s="87">
        <f t="shared" si="133"/>
        <v>1857.5</v>
      </c>
    </row>
    <row r="658" spans="1:19" ht="49.5">
      <c r="A658" s="62" t="str">
        <f ca="1">IF(ISERROR(MATCH(F658,Код_КВР,0)),"",INDIRECT(ADDRESS(MATCH(F658,Код_КВР,0)+1,2,,,"КВР")))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8" s="115">
        <v>805</v>
      </c>
      <c r="C658" s="8" t="s">
        <v>203</v>
      </c>
      <c r="D658" s="8" t="s">
        <v>222</v>
      </c>
      <c r="E658" s="115" t="s">
        <v>111</v>
      </c>
      <c r="F658" s="115">
        <v>611</v>
      </c>
      <c r="G658" s="70">
        <v>1857.5</v>
      </c>
      <c r="H658" s="65"/>
      <c r="I658" s="70">
        <f t="shared" si="135"/>
        <v>1857.5</v>
      </c>
      <c r="J658" s="65"/>
      <c r="K658" s="87">
        <f t="shared" si="132"/>
        <v>1857.5</v>
      </c>
      <c r="L658" s="87"/>
      <c r="M658" s="87">
        <f t="shared" si="140"/>
        <v>1857.5</v>
      </c>
      <c r="N658" s="87"/>
      <c r="O658" s="87">
        <f t="shared" si="141"/>
        <v>1857.5</v>
      </c>
      <c r="P658" s="87"/>
      <c r="Q658" s="87">
        <f t="shared" si="136"/>
        <v>1857.5</v>
      </c>
      <c r="R658" s="87"/>
      <c r="S658" s="87">
        <f t="shared" si="133"/>
        <v>1857.5</v>
      </c>
    </row>
    <row r="659" spans="1:19" ht="12.75">
      <c r="A659" s="62" t="str">
        <f ca="1">IF(ISERROR(MATCH(E659,Код_КЦСР,0)),"",INDIRECT(ADDRESS(MATCH(E659,Код_КЦСР,0)+1,2,,,"КЦСР")))</f>
        <v>Кадровое обеспечение муниципальной системы образования</v>
      </c>
      <c r="B659" s="115">
        <v>805</v>
      </c>
      <c r="C659" s="8" t="s">
        <v>203</v>
      </c>
      <c r="D659" s="8" t="s">
        <v>222</v>
      </c>
      <c r="E659" s="115" t="s">
        <v>299</v>
      </c>
      <c r="F659" s="115"/>
      <c r="G659" s="70">
        <f>G660+G665</f>
        <v>227.9</v>
      </c>
      <c r="H659" s="70">
        <f>H660+H665</f>
        <v>0</v>
      </c>
      <c r="I659" s="70">
        <f t="shared" si="135"/>
        <v>227.9</v>
      </c>
      <c r="J659" s="70">
        <f>J660+J665</f>
        <v>0</v>
      </c>
      <c r="K659" s="87">
        <f t="shared" si="132"/>
        <v>227.9</v>
      </c>
      <c r="L659" s="13">
        <f>L660+L665</f>
        <v>0</v>
      </c>
      <c r="M659" s="87">
        <f t="shared" si="140"/>
        <v>227.9</v>
      </c>
      <c r="N659" s="13">
        <f>N660+N665</f>
        <v>0</v>
      </c>
      <c r="O659" s="87">
        <f t="shared" si="141"/>
        <v>227.9</v>
      </c>
      <c r="P659" s="13">
        <f>P660+P665</f>
        <v>0</v>
      </c>
      <c r="Q659" s="87">
        <f t="shared" si="136"/>
        <v>227.9</v>
      </c>
      <c r="R659" s="13">
        <f>R660+R665</f>
        <v>0</v>
      </c>
      <c r="S659" s="87">
        <f t="shared" si="133"/>
        <v>227.9</v>
      </c>
    </row>
    <row r="660" spans="1:19" ht="33">
      <c r="A660" s="62" t="str">
        <f ca="1">IF(ISERROR(MATCH(E660,Код_КЦСР,0)),"",INDIRECT(ADDRESS(MATCH(E660,Код_КЦСР,0)+1,2,,,"КЦСР")))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660" s="115">
        <v>805</v>
      </c>
      <c r="C660" s="8" t="s">
        <v>203</v>
      </c>
      <c r="D660" s="8" t="s">
        <v>222</v>
      </c>
      <c r="E660" s="115" t="s">
        <v>301</v>
      </c>
      <c r="F660" s="115"/>
      <c r="G660" s="70">
        <f aca="true" t="shared" si="142" ref="G660:R663">G661</f>
        <v>195.3</v>
      </c>
      <c r="H660" s="70">
        <f t="shared" si="142"/>
        <v>0</v>
      </c>
      <c r="I660" s="70">
        <f t="shared" si="135"/>
        <v>195.3</v>
      </c>
      <c r="J660" s="70">
        <f t="shared" si="142"/>
        <v>0</v>
      </c>
      <c r="K660" s="87">
        <f t="shared" si="132"/>
        <v>195.3</v>
      </c>
      <c r="L660" s="13">
        <f t="shared" si="142"/>
        <v>0</v>
      </c>
      <c r="M660" s="87">
        <f t="shared" si="140"/>
        <v>195.3</v>
      </c>
      <c r="N660" s="13">
        <f t="shared" si="142"/>
        <v>0</v>
      </c>
      <c r="O660" s="87">
        <f t="shared" si="141"/>
        <v>195.3</v>
      </c>
      <c r="P660" s="13">
        <f t="shared" si="142"/>
        <v>0</v>
      </c>
      <c r="Q660" s="87">
        <f t="shared" si="136"/>
        <v>195.3</v>
      </c>
      <c r="R660" s="13">
        <f t="shared" si="142"/>
        <v>0</v>
      </c>
      <c r="S660" s="87">
        <f t="shared" si="133"/>
        <v>195.3</v>
      </c>
    </row>
    <row r="661" spans="1:19" ht="49.5">
      <c r="A661" s="62" t="str">
        <f ca="1">IF(ISERROR(MATCH(E661,Код_КЦСР,0)),"",INDIRECT(ADDRESS(MATCH(E661,Код_КЦСР,0)+1,2,,,"КЦСР")))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661" s="115">
        <v>805</v>
      </c>
      <c r="C661" s="8" t="s">
        <v>203</v>
      </c>
      <c r="D661" s="8" t="s">
        <v>222</v>
      </c>
      <c r="E661" s="115" t="s">
        <v>303</v>
      </c>
      <c r="F661" s="115"/>
      <c r="G661" s="70">
        <f t="shared" si="142"/>
        <v>195.3</v>
      </c>
      <c r="H661" s="70">
        <f t="shared" si="142"/>
        <v>0</v>
      </c>
      <c r="I661" s="70">
        <f t="shared" si="135"/>
        <v>195.3</v>
      </c>
      <c r="J661" s="70">
        <f t="shared" si="142"/>
        <v>0</v>
      </c>
      <c r="K661" s="87">
        <f t="shared" si="132"/>
        <v>195.3</v>
      </c>
      <c r="L661" s="13">
        <f t="shared" si="142"/>
        <v>0</v>
      </c>
      <c r="M661" s="87">
        <f t="shared" si="140"/>
        <v>195.3</v>
      </c>
      <c r="N661" s="13">
        <f t="shared" si="142"/>
        <v>0</v>
      </c>
      <c r="O661" s="87">
        <f t="shared" si="141"/>
        <v>195.3</v>
      </c>
      <c r="P661" s="13">
        <f t="shared" si="142"/>
        <v>0</v>
      </c>
      <c r="Q661" s="87">
        <f t="shared" si="136"/>
        <v>195.3</v>
      </c>
      <c r="R661" s="13">
        <f t="shared" si="142"/>
        <v>0</v>
      </c>
      <c r="S661" s="87">
        <f t="shared" si="133"/>
        <v>195.3</v>
      </c>
    </row>
    <row r="662" spans="1:19" ht="12.75">
      <c r="A662" s="62" t="str">
        <f ca="1">IF(ISERROR(MATCH(F662,Код_КВР,0)),"",INDIRECT(ADDRESS(MATCH(F662,Код_КВР,0)+1,2,,,"КВР")))</f>
        <v>Социальное обеспечение и иные выплаты населению</v>
      </c>
      <c r="B662" s="115">
        <v>805</v>
      </c>
      <c r="C662" s="8" t="s">
        <v>203</v>
      </c>
      <c r="D662" s="8" t="s">
        <v>222</v>
      </c>
      <c r="E662" s="115" t="s">
        <v>303</v>
      </c>
      <c r="F662" s="115">
        <v>300</v>
      </c>
      <c r="G662" s="70">
        <f t="shared" si="142"/>
        <v>195.3</v>
      </c>
      <c r="H662" s="70">
        <f t="shared" si="142"/>
        <v>0</v>
      </c>
      <c r="I662" s="70">
        <f t="shared" si="135"/>
        <v>195.3</v>
      </c>
      <c r="J662" s="70">
        <f t="shared" si="142"/>
        <v>0</v>
      </c>
      <c r="K662" s="87">
        <f t="shared" si="132"/>
        <v>195.3</v>
      </c>
      <c r="L662" s="13">
        <f t="shared" si="142"/>
        <v>0</v>
      </c>
      <c r="M662" s="87">
        <f t="shared" si="140"/>
        <v>195.3</v>
      </c>
      <c r="N662" s="13">
        <f t="shared" si="142"/>
        <v>0</v>
      </c>
      <c r="O662" s="87">
        <f t="shared" si="141"/>
        <v>195.3</v>
      </c>
      <c r="P662" s="13">
        <f t="shared" si="142"/>
        <v>0</v>
      </c>
      <c r="Q662" s="87">
        <f t="shared" si="136"/>
        <v>195.3</v>
      </c>
      <c r="R662" s="13">
        <f t="shared" si="142"/>
        <v>0</v>
      </c>
      <c r="S662" s="87">
        <f t="shared" si="133"/>
        <v>195.3</v>
      </c>
    </row>
    <row r="663" spans="1:19" ht="12.75">
      <c r="A663" s="62" t="str">
        <f ca="1">IF(ISERROR(MATCH(F663,Код_КВР,0)),"",INDIRECT(ADDRESS(MATCH(F663,Код_КВР,0)+1,2,,,"КВР")))</f>
        <v>Публичные нормативные социальные выплаты гражданам</v>
      </c>
      <c r="B663" s="115">
        <v>805</v>
      </c>
      <c r="C663" s="8" t="s">
        <v>203</v>
      </c>
      <c r="D663" s="8" t="s">
        <v>222</v>
      </c>
      <c r="E663" s="115" t="s">
        <v>303</v>
      </c>
      <c r="F663" s="115">
        <v>310</v>
      </c>
      <c r="G663" s="70">
        <f t="shared" si="142"/>
        <v>195.3</v>
      </c>
      <c r="H663" s="70">
        <f t="shared" si="142"/>
        <v>0</v>
      </c>
      <c r="I663" s="70">
        <f t="shared" si="135"/>
        <v>195.3</v>
      </c>
      <c r="J663" s="70">
        <f t="shared" si="142"/>
        <v>0</v>
      </c>
      <c r="K663" s="87">
        <f t="shared" si="132"/>
        <v>195.3</v>
      </c>
      <c r="L663" s="13">
        <f t="shared" si="142"/>
        <v>0</v>
      </c>
      <c r="M663" s="87">
        <f t="shared" si="140"/>
        <v>195.3</v>
      </c>
      <c r="N663" s="13">
        <f t="shared" si="142"/>
        <v>0</v>
      </c>
      <c r="O663" s="87">
        <f t="shared" si="141"/>
        <v>195.3</v>
      </c>
      <c r="P663" s="13">
        <f t="shared" si="142"/>
        <v>0</v>
      </c>
      <c r="Q663" s="87">
        <f t="shared" si="136"/>
        <v>195.3</v>
      </c>
      <c r="R663" s="13">
        <f t="shared" si="142"/>
        <v>0</v>
      </c>
      <c r="S663" s="87">
        <f t="shared" si="133"/>
        <v>195.3</v>
      </c>
    </row>
    <row r="664" spans="1:19" ht="33">
      <c r="A664" s="62" t="str">
        <f ca="1">IF(ISERROR(MATCH(F664,Код_КВР,0)),"",INDIRECT(ADDRESS(MATCH(F664,Код_КВР,0)+1,2,,,"КВР")))</f>
        <v>Пособия, компенсации, меры социальной поддержки по публичным нормативным обязательствам</v>
      </c>
      <c r="B664" s="115">
        <v>805</v>
      </c>
      <c r="C664" s="8" t="s">
        <v>203</v>
      </c>
      <c r="D664" s="8" t="s">
        <v>222</v>
      </c>
      <c r="E664" s="115" t="s">
        <v>303</v>
      </c>
      <c r="F664" s="115">
        <v>313</v>
      </c>
      <c r="G664" s="70">
        <v>195.3</v>
      </c>
      <c r="H664" s="65"/>
      <c r="I664" s="70">
        <f t="shared" si="135"/>
        <v>195.3</v>
      </c>
      <c r="J664" s="65"/>
      <c r="K664" s="87">
        <f t="shared" si="132"/>
        <v>195.3</v>
      </c>
      <c r="L664" s="87"/>
      <c r="M664" s="87">
        <f t="shared" si="140"/>
        <v>195.3</v>
      </c>
      <c r="N664" s="87"/>
      <c r="O664" s="87">
        <f t="shared" si="141"/>
        <v>195.3</v>
      </c>
      <c r="P664" s="87"/>
      <c r="Q664" s="87">
        <f t="shared" si="136"/>
        <v>195.3</v>
      </c>
      <c r="R664" s="87"/>
      <c r="S664" s="87">
        <f t="shared" si="133"/>
        <v>195.3</v>
      </c>
    </row>
    <row r="665" spans="1:19" ht="33">
      <c r="A665" s="62" t="str">
        <f ca="1">IF(ISERROR(MATCH(E665,Код_КЦСР,0)),"",INDIRECT(ADDRESS(MATCH(E665,Код_КЦСР,0)+1,2,,,"КЦСР")))</f>
        <v>Представление лучших педагогов сферы образования к поощрению  наградами всех уровней</v>
      </c>
      <c r="B665" s="115">
        <v>805</v>
      </c>
      <c r="C665" s="8" t="s">
        <v>203</v>
      </c>
      <c r="D665" s="8" t="s">
        <v>222</v>
      </c>
      <c r="E665" s="115" t="s">
        <v>465</v>
      </c>
      <c r="F665" s="115"/>
      <c r="G665" s="70">
        <f aca="true" t="shared" si="143" ref="G665:R668">G666</f>
        <v>32.6</v>
      </c>
      <c r="H665" s="70">
        <f t="shared" si="143"/>
        <v>0</v>
      </c>
      <c r="I665" s="70">
        <f t="shared" si="135"/>
        <v>32.6</v>
      </c>
      <c r="J665" s="70">
        <f t="shared" si="143"/>
        <v>0</v>
      </c>
      <c r="K665" s="87">
        <f t="shared" si="132"/>
        <v>32.6</v>
      </c>
      <c r="L665" s="13">
        <f t="shared" si="143"/>
        <v>0</v>
      </c>
      <c r="M665" s="87">
        <f t="shared" si="140"/>
        <v>32.6</v>
      </c>
      <c r="N665" s="13">
        <f t="shared" si="143"/>
        <v>0</v>
      </c>
      <c r="O665" s="87">
        <f t="shared" si="141"/>
        <v>32.6</v>
      </c>
      <c r="P665" s="13">
        <f t="shared" si="143"/>
        <v>0</v>
      </c>
      <c r="Q665" s="87">
        <f t="shared" si="136"/>
        <v>32.6</v>
      </c>
      <c r="R665" s="13">
        <f t="shared" si="143"/>
        <v>0</v>
      </c>
      <c r="S665" s="87">
        <f t="shared" si="133"/>
        <v>32.6</v>
      </c>
    </row>
    <row r="666" spans="1:19" ht="49.5">
      <c r="A666" s="62" t="str">
        <f ca="1">IF(ISERROR(MATCH(E666,Код_КЦСР,0)),"",INDIRECT(ADDRESS(MATCH(E666,Код_КЦСР,0)+1,2,,,"КЦСР")))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666" s="115">
        <v>805</v>
      </c>
      <c r="C666" s="8" t="s">
        <v>203</v>
      </c>
      <c r="D666" s="8" t="s">
        <v>222</v>
      </c>
      <c r="E666" s="115" t="s">
        <v>467</v>
      </c>
      <c r="F666" s="115"/>
      <c r="G666" s="70">
        <f t="shared" si="143"/>
        <v>32.6</v>
      </c>
      <c r="H666" s="70">
        <f t="shared" si="143"/>
        <v>0</v>
      </c>
      <c r="I666" s="70">
        <f t="shared" si="135"/>
        <v>32.6</v>
      </c>
      <c r="J666" s="70">
        <f t="shared" si="143"/>
        <v>0</v>
      </c>
      <c r="K666" s="87">
        <f t="shared" si="132"/>
        <v>32.6</v>
      </c>
      <c r="L666" s="13">
        <f t="shared" si="143"/>
        <v>0</v>
      </c>
      <c r="M666" s="87">
        <f t="shared" si="140"/>
        <v>32.6</v>
      </c>
      <c r="N666" s="13">
        <f t="shared" si="143"/>
        <v>0</v>
      </c>
      <c r="O666" s="87">
        <f t="shared" si="141"/>
        <v>32.6</v>
      </c>
      <c r="P666" s="13">
        <f t="shared" si="143"/>
        <v>0</v>
      </c>
      <c r="Q666" s="87">
        <f t="shared" si="136"/>
        <v>32.6</v>
      </c>
      <c r="R666" s="13">
        <f t="shared" si="143"/>
        <v>0</v>
      </c>
      <c r="S666" s="87">
        <f t="shared" si="133"/>
        <v>32.6</v>
      </c>
    </row>
    <row r="667" spans="1:19" ht="12.75">
      <c r="A667" s="62" t="str">
        <f ca="1">IF(ISERROR(MATCH(F667,Код_КВР,0)),"",INDIRECT(ADDRESS(MATCH(F667,Код_КВР,0)+1,2,,,"КВР")))</f>
        <v>Социальное обеспечение и иные выплаты населению</v>
      </c>
      <c r="B667" s="115">
        <v>805</v>
      </c>
      <c r="C667" s="8" t="s">
        <v>203</v>
      </c>
      <c r="D667" s="8" t="s">
        <v>222</v>
      </c>
      <c r="E667" s="115" t="s">
        <v>467</v>
      </c>
      <c r="F667" s="115">
        <v>300</v>
      </c>
      <c r="G667" s="70">
        <f t="shared" si="143"/>
        <v>32.6</v>
      </c>
      <c r="H667" s="70">
        <f t="shared" si="143"/>
        <v>0</v>
      </c>
      <c r="I667" s="70">
        <f t="shared" si="135"/>
        <v>32.6</v>
      </c>
      <c r="J667" s="70">
        <f t="shared" si="143"/>
        <v>0</v>
      </c>
      <c r="K667" s="87">
        <f t="shared" si="132"/>
        <v>32.6</v>
      </c>
      <c r="L667" s="13">
        <f t="shared" si="143"/>
        <v>0</v>
      </c>
      <c r="M667" s="87">
        <f t="shared" si="140"/>
        <v>32.6</v>
      </c>
      <c r="N667" s="13">
        <f t="shared" si="143"/>
        <v>0</v>
      </c>
      <c r="O667" s="87">
        <f t="shared" si="141"/>
        <v>32.6</v>
      </c>
      <c r="P667" s="13">
        <f t="shared" si="143"/>
        <v>0</v>
      </c>
      <c r="Q667" s="87">
        <f t="shared" si="136"/>
        <v>32.6</v>
      </c>
      <c r="R667" s="13">
        <f t="shared" si="143"/>
        <v>0</v>
      </c>
      <c r="S667" s="87">
        <f t="shared" si="133"/>
        <v>32.6</v>
      </c>
    </row>
    <row r="668" spans="1:19" ht="12.75">
      <c r="A668" s="62" t="str">
        <f ca="1">IF(ISERROR(MATCH(F668,Код_КВР,0)),"",INDIRECT(ADDRESS(MATCH(F668,Код_КВР,0)+1,2,,,"КВР")))</f>
        <v>Публичные нормативные социальные выплаты гражданам</v>
      </c>
      <c r="B668" s="115">
        <v>805</v>
      </c>
      <c r="C668" s="8" t="s">
        <v>203</v>
      </c>
      <c r="D668" s="8" t="s">
        <v>222</v>
      </c>
      <c r="E668" s="115" t="s">
        <v>467</v>
      </c>
      <c r="F668" s="115">
        <v>310</v>
      </c>
      <c r="G668" s="70">
        <f t="shared" si="143"/>
        <v>32.6</v>
      </c>
      <c r="H668" s="70">
        <f t="shared" si="143"/>
        <v>0</v>
      </c>
      <c r="I668" s="70">
        <f t="shared" si="135"/>
        <v>32.6</v>
      </c>
      <c r="J668" s="70">
        <f t="shared" si="143"/>
        <v>0</v>
      </c>
      <c r="K668" s="87">
        <f t="shared" si="132"/>
        <v>32.6</v>
      </c>
      <c r="L668" s="13">
        <f t="shared" si="143"/>
        <v>0</v>
      </c>
      <c r="M668" s="87">
        <f t="shared" si="140"/>
        <v>32.6</v>
      </c>
      <c r="N668" s="13">
        <f t="shared" si="143"/>
        <v>0</v>
      </c>
      <c r="O668" s="87">
        <f t="shared" si="141"/>
        <v>32.6</v>
      </c>
      <c r="P668" s="13">
        <f t="shared" si="143"/>
        <v>0</v>
      </c>
      <c r="Q668" s="87">
        <f t="shared" si="136"/>
        <v>32.6</v>
      </c>
      <c r="R668" s="13">
        <f t="shared" si="143"/>
        <v>0</v>
      </c>
      <c r="S668" s="87">
        <f t="shared" si="133"/>
        <v>32.6</v>
      </c>
    </row>
    <row r="669" spans="1:19" ht="33">
      <c r="A669" s="62" t="str">
        <f ca="1">IF(ISERROR(MATCH(F669,Код_КВР,0)),"",INDIRECT(ADDRESS(MATCH(F669,Код_КВР,0)+1,2,,,"КВР")))</f>
        <v>Пособия, компенсации, меры социальной поддержки по публичным нормативным обязательствам</v>
      </c>
      <c r="B669" s="115">
        <v>805</v>
      </c>
      <c r="C669" s="8" t="s">
        <v>203</v>
      </c>
      <c r="D669" s="8" t="s">
        <v>222</v>
      </c>
      <c r="E669" s="115" t="s">
        <v>467</v>
      </c>
      <c r="F669" s="115">
        <v>313</v>
      </c>
      <c r="G669" s="70">
        <v>32.6</v>
      </c>
      <c r="H669" s="65"/>
      <c r="I669" s="70">
        <f t="shared" si="135"/>
        <v>32.6</v>
      </c>
      <c r="J669" s="65"/>
      <c r="K669" s="87">
        <f t="shared" si="132"/>
        <v>32.6</v>
      </c>
      <c r="L669" s="87"/>
      <c r="M669" s="87">
        <f t="shared" si="140"/>
        <v>32.6</v>
      </c>
      <c r="N669" s="87"/>
      <c r="O669" s="87">
        <f t="shared" si="141"/>
        <v>32.6</v>
      </c>
      <c r="P669" s="87"/>
      <c r="Q669" s="87">
        <f t="shared" si="136"/>
        <v>32.6</v>
      </c>
      <c r="R669" s="87"/>
      <c r="S669" s="87">
        <f t="shared" si="133"/>
        <v>32.6</v>
      </c>
    </row>
    <row r="670" spans="1:19" ht="33">
      <c r="A670" s="62" t="str">
        <f ca="1">IF(ISERROR(MATCH(E670,Код_КЦСР,0)),"",INDIRECT(ADDRESS(MATCH(E670,Код_КЦСР,0)+1,2,,,"КЦСР")))</f>
        <v>Социально-педагогическая поддержка детей-сирот и детей, оставшихся без попечения родителей</v>
      </c>
      <c r="B670" s="115">
        <v>805</v>
      </c>
      <c r="C670" s="8" t="s">
        <v>203</v>
      </c>
      <c r="D670" s="8" t="s">
        <v>222</v>
      </c>
      <c r="E670" s="115" t="s">
        <v>420</v>
      </c>
      <c r="F670" s="115"/>
      <c r="G670" s="70">
        <f>G671</f>
        <v>117177.8</v>
      </c>
      <c r="H670" s="70">
        <f>H671</f>
        <v>0</v>
      </c>
      <c r="I670" s="70">
        <f t="shared" si="135"/>
        <v>117177.8</v>
      </c>
      <c r="J670" s="70">
        <f>J671</f>
        <v>0</v>
      </c>
      <c r="K670" s="87">
        <f t="shared" si="132"/>
        <v>117177.8</v>
      </c>
      <c r="L670" s="13">
        <f>L671</f>
        <v>0</v>
      </c>
      <c r="M670" s="87">
        <f t="shared" si="140"/>
        <v>117177.8</v>
      </c>
      <c r="N670" s="13">
        <f>N671</f>
        <v>0</v>
      </c>
      <c r="O670" s="87">
        <f t="shared" si="141"/>
        <v>117177.8</v>
      </c>
      <c r="P670" s="13">
        <f>P671</f>
        <v>0</v>
      </c>
      <c r="Q670" s="87">
        <f t="shared" si="136"/>
        <v>117177.8</v>
      </c>
      <c r="R670" s="13">
        <f>R671</f>
        <v>-491.2</v>
      </c>
      <c r="S670" s="87">
        <f t="shared" si="133"/>
        <v>116686.6</v>
      </c>
    </row>
    <row r="671" spans="1:19" ht="66">
      <c r="A671" s="62" t="str">
        <f ca="1">IF(ISERROR(MATCH(E671,Код_КЦСР,0)),"",INDIRECT(ADDRESS(MATCH(E671,Код_КЦСР,0)+1,2,,,"КЦСР")))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71" s="115">
        <v>805</v>
      </c>
      <c r="C671" s="8" t="s">
        <v>203</v>
      </c>
      <c r="D671" s="8" t="s">
        <v>222</v>
      </c>
      <c r="E671" s="115" t="s">
        <v>422</v>
      </c>
      <c r="F671" s="115"/>
      <c r="G671" s="70">
        <f>G672+G675</f>
        <v>117177.8</v>
      </c>
      <c r="H671" s="70">
        <f>H672+H675</f>
        <v>0</v>
      </c>
      <c r="I671" s="70">
        <f t="shared" si="135"/>
        <v>117177.8</v>
      </c>
      <c r="J671" s="70">
        <f>J672+J675</f>
        <v>0</v>
      </c>
      <c r="K671" s="87">
        <f t="shared" si="132"/>
        <v>117177.8</v>
      </c>
      <c r="L671" s="13">
        <f>L672+L675</f>
        <v>0</v>
      </c>
      <c r="M671" s="87">
        <f t="shared" si="140"/>
        <v>117177.8</v>
      </c>
      <c r="N671" s="13">
        <f>N672+N675</f>
        <v>0</v>
      </c>
      <c r="O671" s="87">
        <f t="shared" si="141"/>
        <v>117177.8</v>
      </c>
      <c r="P671" s="13">
        <f>P672+P675</f>
        <v>0</v>
      </c>
      <c r="Q671" s="87">
        <f t="shared" si="136"/>
        <v>117177.8</v>
      </c>
      <c r="R671" s="13">
        <f>R672+R675</f>
        <v>-491.2</v>
      </c>
      <c r="S671" s="87">
        <f t="shared" si="133"/>
        <v>116686.6</v>
      </c>
    </row>
    <row r="672" spans="1:19" ht="12.75">
      <c r="A672" s="62" t="str">
        <f aca="true" t="shared" si="144" ref="A672:A677">IF(ISERROR(MATCH(F672,Код_КВР,0)),"",INDIRECT(ADDRESS(MATCH(F672,Код_КВР,0)+1,2,,,"КВР")))</f>
        <v>Социальное обеспечение и иные выплаты населению</v>
      </c>
      <c r="B672" s="115">
        <v>805</v>
      </c>
      <c r="C672" s="8" t="s">
        <v>203</v>
      </c>
      <c r="D672" s="8" t="s">
        <v>222</v>
      </c>
      <c r="E672" s="115" t="s">
        <v>422</v>
      </c>
      <c r="F672" s="115">
        <v>300</v>
      </c>
      <c r="G672" s="70">
        <f>G673</f>
        <v>851.6</v>
      </c>
      <c r="H672" s="70">
        <f>H673</f>
        <v>0</v>
      </c>
      <c r="I672" s="70">
        <f t="shared" si="135"/>
        <v>851.6</v>
      </c>
      <c r="J672" s="70">
        <f>J673</f>
        <v>0</v>
      </c>
      <c r="K672" s="87">
        <f t="shared" si="132"/>
        <v>851.6</v>
      </c>
      <c r="L672" s="13">
        <f>L673</f>
        <v>0</v>
      </c>
      <c r="M672" s="87">
        <f t="shared" si="140"/>
        <v>851.6</v>
      </c>
      <c r="N672" s="13">
        <f>N673</f>
        <v>0</v>
      </c>
      <c r="O672" s="87">
        <f t="shared" si="141"/>
        <v>851.6</v>
      </c>
      <c r="P672" s="13">
        <f>P673</f>
        <v>0</v>
      </c>
      <c r="Q672" s="87">
        <f t="shared" si="136"/>
        <v>851.6</v>
      </c>
      <c r="R672" s="13">
        <f>R673</f>
        <v>0</v>
      </c>
      <c r="S672" s="87">
        <f t="shared" si="133"/>
        <v>851.6</v>
      </c>
    </row>
    <row r="673" spans="1:19" ht="33">
      <c r="A673" s="62" t="str">
        <f ca="1" t="shared" si="144"/>
        <v>Социальные выплаты гражданам, кроме публичных нормативных социальных выплат</v>
      </c>
      <c r="B673" s="115">
        <v>805</v>
      </c>
      <c r="C673" s="8" t="s">
        <v>203</v>
      </c>
      <c r="D673" s="8" t="s">
        <v>222</v>
      </c>
      <c r="E673" s="115" t="s">
        <v>422</v>
      </c>
      <c r="F673" s="115">
        <v>320</v>
      </c>
      <c r="G673" s="70">
        <f>G674</f>
        <v>851.6</v>
      </c>
      <c r="H673" s="70">
        <f>H674</f>
        <v>0</v>
      </c>
      <c r="I673" s="70">
        <f t="shared" si="135"/>
        <v>851.6</v>
      </c>
      <c r="J673" s="70">
        <f>J674</f>
        <v>0</v>
      </c>
      <c r="K673" s="87">
        <f t="shared" si="132"/>
        <v>851.6</v>
      </c>
      <c r="L673" s="13">
        <f>L674</f>
        <v>0</v>
      </c>
      <c r="M673" s="87">
        <f t="shared" si="140"/>
        <v>851.6</v>
      </c>
      <c r="N673" s="13">
        <f>N674</f>
        <v>0</v>
      </c>
      <c r="O673" s="87">
        <f t="shared" si="141"/>
        <v>851.6</v>
      </c>
      <c r="P673" s="13">
        <f>P674</f>
        <v>0</v>
      </c>
      <c r="Q673" s="87">
        <f t="shared" si="136"/>
        <v>851.6</v>
      </c>
      <c r="R673" s="13">
        <f>R674</f>
        <v>0</v>
      </c>
      <c r="S673" s="87">
        <f t="shared" si="133"/>
        <v>851.6</v>
      </c>
    </row>
    <row r="674" spans="1:19" ht="33">
      <c r="A674" s="62" t="str">
        <f ca="1" t="shared" si="144"/>
        <v>Пособия, компенсации и иные социальные выплаты гражданам, кроме публичных нормативных обязательств</v>
      </c>
      <c r="B674" s="115">
        <v>805</v>
      </c>
      <c r="C674" s="8" t="s">
        <v>203</v>
      </c>
      <c r="D674" s="8" t="s">
        <v>222</v>
      </c>
      <c r="E674" s="115" t="s">
        <v>422</v>
      </c>
      <c r="F674" s="115">
        <v>321</v>
      </c>
      <c r="G674" s="70">
        <f>851.6</f>
        <v>851.6</v>
      </c>
      <c r="H674" s="65"/>
      <c r="I674" s="70">
        <f t="shared" si="135"/>
        <v>851.6</v>
      </c>
      <c r="J674" s="65"/>
      <c r="K674" s="87">
        <f t="shared" si="132"/>
        <v>851.6</v>
      </c>
      <c r="L674" s="87"/>
      <c r="M674" s="87">
        <f t="shared" si="140"/>
        <v>851.6</v>
      </c>
      <c r="N674" s="87"/>
      <c r="O674" s="87">
        <f t="shared" si="141"/>
        <v>851.6</v>
      </c>
      <c r="P674" s="87"/>
      <c r="Q674" s="87">
        <f t="shared" si="136"/>
        <v>851.6</v>
      </c>
      <c r="R674" s="87"/>
      <c r="S674" s="87">
        <f t="shared" si="133"/>
        <v>851.6</v>
      </c>
    </row>
    <row r="675" spans="1:19" ht="33">
      <c r="A675" s="62" t="str">
        <f ca="1" t="shared" si="144"/>
        <v>Предоставление субсидий бюджетным, автономным учреждениям и иным некоммерческим организациям</v>
      </c>
      <c r="B675" s="115">
        <v>805</v>
      </c>
      <c r="C675" s="8" t="s">
        <v>203</v>
      </c>
      <c r="D675" s="8" t="s">
        <v>222</v>
      </c>
      <c r="E675" s="115" t="s">
        <v>422</v>
      </c>
      <c r="F675" s="115">
        <v>600</v>
      </c>
      <c r="G675" s="70">
        <f>G676</f>
        <v>116326.2</v>
      </c>
      <c r="H675" s="70">
        <f>H676</f>
        <v>0</v>
      </c>
      <c r="I675" s="70">
        <f t="shared" si="135"/>
        <v>116326.2</v>
      </c>
      <c r="J675" s="70">
        <f>J676</f>
        <v>0</v>
      </c>
      <c r="K675" s="87">
        <f t="shared" si="132"/>
        <v>116326.2</v>
      </c>
      <c r="L675" s="13">
        <f>L676</f>
        <v>0</v>
      </c>
      <c r="M675" s="87">
        <f t="shared" si="140"/>
        <v>116326.2</v>
      </c>
      <c r="N675" s="13">
        <f>N676</f>
        <v>0</v>
      </c>
      <c r="O675" s="87">
        <f t="shared" si="141"/>
        <v>116326.2</v>
      </c>
      <c r="P675" s="13">
        <f>P676</f>
        <v>0</v>
      </c>
      <c r="Q675" s="87">
        <f t="shared" si="136"/>
        <v>116326.2</v>
      </c>
      <c r="R675" s="13">
        <f>R676</f>
        <v>-491.2</v>
      </c>
      <c r="S675" s="87">
        <f t="shared" si="133"/>
        <v>115835</v>
      </c>
    </row>
    <row r="676" spans="1:19" ht="12.75">
      <c r="A676" s="62" t="str">
        <f ca="1" t="shared" si="144"/>
        <v>Субсидии бюджетным учреждениям</v>
      </c>
      <c r="B676" s="115">
        <v>805</v>
      </c>
      <c r="C676" s="8" t="s">
        <v>203</v>
      </c>
      <c r="D676" s="8" t="s">
        <v>222</v>
      </c>
      <c r="E676" s="115" t="s">
        <v>422</v>
      </c>
      <c r="F676" s="115">
        <v>610</v>
      </c>
      <c r="G676" s="70">
        <f>G677</f>
        <v>116326.2</v>
      </c>
      <c r="H676" s="70">
        <f>H677</f>
        <v>0</v>
      </c>
      <c r="I676" s="70">
        <f t="shared" si="135"/>
        <v>116326.2</v>
      </c>
      <c r="J676" s="70">
        <f>J677</f>
        <v>0</v>
      </c>
      <c r="K676" s="87">
        <f t="shared" si="132"/>
        <v>116326.2</v>
      </c>
      <c r="L676" s="13">
        <f>L677</f>
        <v>0</v>
      </c>
      <c r="M676" s="87">
        <f t="shared" si="140"/>
        <v>116326.2</v>
      </c>
      <c r="N676" s="13">
        <f>N677</f>
        <v>0</v>
      </c>
      <c r="O676" s="87">
        <f t="shared" si="141"/>
        <v>116326.2</v>
      </c>
      <c r="P676" s="13">
        <f>P677</f>
        <v>0</v>
      </c>
      <c r="Q676" s="87">
        <f t="shared" si="136"/>
        <v>116326.2</v>
      </c>
      <c r="R676" s="13">
        <f>R677</f>
        <v>-491.2</v>
      </c>
      <c r="S676" s="87">
        <f t="shared" si="133"/>
        <v>115835</v>
      </c>
    </row>
    <row r="677" spans="1:19" ht="49.5">
      <c r="A677" s="62" t="str">
        <f ca="1" t="shared" si="14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7" s="115">
        <v>805</v>
      </c>
      <c r="C677" s="8" t="s">
        <v>203</v>
      </c>
      <c r="D677" s="8" t="s">
        <v>222</v>
      </c>
      <c r="E677" s="115" t="s">
        <v>422</v>
      </c>
      <c r="F677" s="115">
        <v>611</v>
      </c>
      <c r="G677" s="70">
        <v>116326.2</v>
      </c>
      <c r="H677" s="65"/>
      <c r="I677" s="70">
        <f t="shared" si="135"/>
        <v>116326.2</v>
      </c>
      <c r="J677" s="65"/>
      <c r="K677" s="87">
        <f t="shared" si="132"/>
        <v>116326.2</v>
      </c>
      <c r="L677" s="87"/>
      <c r="M677" s="87">
        <f t="shared" si="140"/>
        <v>116326.2</v>
      </c>
      <c r="N677" s="87"/>
      <c r="O677" s="87">
        <f t="shared" si="141"/>
        <v>116326.2</v>
      </c>
      <c r="P677" s="87"/>
      <c r="Q677" s="87">
        <f t="shared" si="136"/>
        <v>116326.2</v>
      </c>
      <c r="R677" s="87">
        <v>-491.2</v>
      </c>
      <c r="S677" s="87">
        <f t="shared" si="133"/>
        <v>115835</v>
      </c>
    </row>
    <row r="678" spans="1:19" ht="12.75">
      <c r="A678" s="12" t="s">
        <v>207</v>
      </c>
      <c r="B678" s="115">
        <v>805</v>
      </c>
      <c r="C678" s="8" t="s">
        <v>203</v>
      </c>
      <c r="D678" s="8" t="s">
        <v>203</v>
      </c>
      <c r="E678" s="115"/>
      <c r="F678" s="115"/>
      <c r="G678" s="70">
        <f aca="true" t="shared" si="145" ref="G678:R687">G679</f>
        <v>6052</v>
      </c>
      <c r="H678" s="70">
        <f t="shared" si="145"/>
        <v>0</v>
      </c>
      <c r="I678" s="70">
        <f t="shared" si="135"/>
        <v>6052</v>
      </c>
      <c r="J678" s="70">
        <f>J679+J689</f>
        <v>2842.8</v>
      </c>
      <c r="K678" s="87">
        <f t="shared" si="132"/>
        <v>8894.8</v>
      </c>
      <c r="L678" s="13">
        <f>L679+L689</f>
        <v>0</v>
      </c>
      <c r="M678" s="87">
        <f t="shared" si="140"/>
        <v>8894.8</v>
      </c>
      <c r="N678" s="13">
        <f>N679+N689</f>
        <v>377.3</v>
      </c>
      <c r="O678" s="87">
        <f t="shared" si="141"/>
        <v>9272.099999999999</v>
      </c>
      <c r="P678" s="13">
        <f>P679+P689</f>
        <v>0</v>
      </c>
      <c r="Q678" s="87">
        <f t="shared" si="136"/>
        <v>9272.099999999999</v>
      </c>
      <c r="R678" s="13">
        <f>R679+R689</f>
        <v>0</v>
      </c>
      <c r="S678" s="87">
        <f t="shared" si="133"/>
        <v>9272.099999999999</v>
      </c>
    </row>
    <row r="679" spans="1:19" ht="15.75" customHeight="1">
      <c r="A679" s="62" t="str">
        <f ca="1">IF(ISERROR(MATCH(E679,Код_КЦСР,0)),"",INDIRECT(ADDRESS(MATCH(E679,Код_КЦСР,0)+1,2,,,"КЦСР")))</f>
        <v>Муниципальная программа «Развитие образования» на 2013-2022 годы</v>
      </c>
      <c r="B679" s="115">
        <v>805</v>
      </c>
      <c r="C679" s="8" t="s">
        <v>203</v>
      </c>
      <c r="D679" s="8" t="s">
        <v>203</v>
      </c>
      <c r="E679" s="115" t="s">
        <v>279</v>
      </c>
      <c r="F679" s="115"/>
      <c r="G679" s="70">
        <f>G684</f>
        <v>6052</v>
      </c>
      <c r="H679" s="70">
        <f>H684</f>
        <v>0</v>
      </c>
      <c r="I679" s="70">
        <f t="shared" si="135"/>
        <v>6052</v>
      </c>
      <c r="J679" s="70">
        <f>J684</f>
        <v>0</v>
      </c>
      <c r="K679" s="87">
        <f t="shared" si="132"/>
        <v>6052</v>
      </c>
      <c r="L679" s="13">
        <f>L684</f>
        <v>0</v>
      </c>
      <c r="M679" s="87">
        <f t="shared" si="140"/>
        <v>6052</v>
      </c>
      <c r="N679" s="13">
        <f>N684+N680</f>
        <v>377.3</v>
      </c>
      <c r="O679" s="87">
        <f t="shared" si="141"/>
        <v>6429.3</v>
      </c>
      <c r="P679" s="13">
        <f>P684+P680</f>
        <v>0</v>
      </c>
      <c r="Q679" s="87">
        <f t="shared" si="136"/>
        <v>6429.3</v>
      </c>
      <c r="R679" s="13">
        <f>R684+R680</f>
        <v>0</v>
      </c>
      <c r="S679" s="87">
        <f t="shared" si="133"/>
        <v>6429.3</v>
      </c>
    </row>
    <row r="680" spans="1:19" s="94" customFormat="1" ht="12.75">
      <c r="A680" s="97" t="str">
        <f ca="1">IF(ISERROR(MATCH(E680,Код_КЦСР,0)),"",INDIRECT(ADDRESS(MATCH(E680,Код_КЦСР,0)+1,2,,,"КЦСР")))</f>
        <v>Обеспечение питанием обучающихся в МОУ</v>
      </c>
      <c r="B680" s="96">
        <v>805</v>
      </c>
      <c r="C680" s="99" t="s">
        <v>203</v>
      </c>
      <c r="D680" s="99" t="s">
        <v>203</v>
      </c>
      <c r="E680" s="96" t="s">
        <v>282</v>
      </c>
      <c r="F680" s="96"/>
      <c r="G680" s="105"/>
      <c r="H680" s="105"/>
      <c r="I680" s="105"/>
      <c r="J680" s="105"/>
      <c r="K680" s="106"/>
      <c r="L680" s="107"/>
      <c r="M680" s="106"/>
      <c r="N680" s="107">
        <f>N681</f>
        <v>377.3</v>
      </c>
      <c r="O680" s="106">
        <f>N680</f>
        <v>377.3</v>
      </c>
      <c r="P680" s="107">
        <f>P681</f>
        <v>0</v>
      </c>
      <c r="Q680" s="87">
        <f t="shared" si="136"/>
        <v>377.3</v>
      </c>
      <c r="R680" s="107">
        <f>R681</f>
        <v>0</v>
      </c>
      <c r="S680" s="87">
        <f t="shared" si="133"/>
        <v>377.3</v>
      </c>
    </row>
    <row r="681" spans="1:19" s="94" customFormat="1" ht="39" customHeight="1">
      <c r="A681" s="97" t="str">
        <f ca="1">IF(ISERROR(MATCH(F681,Код_КВР,0)),"",INDIRECT(ADDRESS(MATCH(F681,Код_КВР,0)+1,2,,,"КВР")))</f>
        <v>Предоставление субсидий бюджетным, автономным учреждениям и иным некоммерческим организациям</v>
      </c>
      <c r="B681" s="96">
        <v>805</v>
      </c>
      <c r="C681" s="99" t="s">
        <v>203</v>
      </c>
      <c r="D681" s="99" t="s">
        <v>203</v>
      </c>
      <c r="E681" s="96" t="s">
        <v>282</v>
      </c>
      <c r="F681" s="96">
        <v>600</v>
      </c>
      <c r="G681" s="105"/>
      <c r="H681" s="105"/>
      <c r="I681" s="105"/>
      <c r="J681" s="105"/>
      <c r="K681" s="106"/>
      <c r="L681" s="107"/>
      <c r="M681" s="106"/>
      <c r="N681" s="107">
        <f>N682</f>
        <v>377.3</v>
      </c>
      <c r="O681" s="106">
        <f aca="true" t="shared" si="146" ref="O681:O683">N681</f>
        <v>377.3</v>
      </c>
      <c r="P681" s="107">
        <f>P682</f>
        <v>0</v>
      </c>
      <c r="Q681" s="87">
        <f t="shared" si="136"/>
        <v>377.3</v>
      </c>
      <c r="R681" s="107">
        <f>R682</f>
        <v>0</v>
      </c>
      <c r="S681" s="87">
        <f t="shared" si="133"/>
        <v>377.3</v>
      </c>
    </row>
    <row r="682" spans="1:19" s="94" customFormat="1" ht="12.75">
      <c r="A682" s="97" t="str">
        <f ca="1">IF(ISERROR(MATCH(F682,Код_КВР,0)),"",INDIRECT(ADDRESS(MATCH(F682,Код_КВР,0)+1,2,,,"КВР")))</f>
        <v>Субсидии автономным учреждениям</v>
      </c>
      <c r="B682" s="96">
        <v>805</v>
      </c>
      <c r="C682" s="99" t="s">
        <v>203</v>
      </c>
      <c r="D682" s="99" t="s">
        <v>203</v>
      </c>
      <c r="E682" s="96" t="s">
        <v>282</v>
      </c>
      <c r="F682" s="96">
        <v>620</v>
      </c>
      <c r="G682" s="105"/>
      <c r="H682" s="105"/>
      <c r="I682" s="105"/>
      <c r="J682" s="105"/>
      <c r="K682" s="106"/>
      <c r="L682" s="107"/>
      <c r="M682" s="106"/>
      <c r="N682" s="107">
        <f>N683</f>
        <v>377.3</v>
      </c>
      <c r="O682" s="106">
        <f t="shared" si="146"/>
        <v>377.3</v>
      </c>
      <c r="P682" s="107">
        <f>P683</f>
        <v>0</v>
      </c>
      <c r="Q682" s="87">
        <f t="shared" si="136"/>
        <v>377.3</v>
      </c>
      <c r="R682" s="107">
        <f>R683</f>
        <v>0</v>
      </c>
      <c r="S682" s="87">
        <f t="shared" si="133"/>
        <v>377.3</v>
      </c>
    </row>
    <row r="683" spans="1:19" s="94" customFormat="1" ht="12.75">
      <c r="A683" s="97" t="str">
        <f ca="1">IF(ISERROR(MATCH(F683,Код_КВР,0)),"",INDIRECT(ADDRESS(MATCH(F683,Код_КВР,0)+1,2,,,"КВР")))</f>
        <v>Субсидии автономным учреждениям на иные цели</v>
      </c>
      <c r="B683" s="96">
        <v>805</v>
      </c>
      <c r="C683" s="99" t="s">
        <v>203</v>
      </c>
      <c r="D683" s="99" t="s">
        <v>203</v>
      </c>
      <c r="E683" s="96" t="s">
        <v>282</v>
      </c>
      <c r="F683" s="96">
        <v>622</v>
      </c>
      <c r="G683" s="105"/>
      <c r="H683" s="105"/>
      <c r="I683" s="105"/>
      <c r="J683" s="105"/>
      <c r="K683" s="106"/>
      <c r="L683" s="107"/>
      <c r="M683" s="106"/>
      <c r="N683" s="107">
        <v>377.3</v>
      </c>
      <c r="O683" s="106">
        <f t="shared" si="146"/>
        <v>377.3</v>
      </c>
      <c r="P683" s="107"/>
      <c r="Q683" s="87">
        <f t="shared" si="136"/>
        <v>377.3</v>
      </c>
      <c r="R683" s="107"/>
      <c r="S683" s="87">
        <f t="shared" si="133"/>
        <v>377.3</v>
      </c>
    </row>
    <row r="684" spans="1:19" ht="33">
      <c r="A684" s="62" t="str">
        <f ca="1">IF(ISERROR(MATCH(E684,Код_КЦСР,0)),"",INDIRECT(ADDRESS(MATCH(E684,Код_КЦСР,0)+1,2,,,"КЦСР")))</f>
        <v>Социально-педагогическая поддержка детей-сирот и детей, оставшихся без попечения родителей</v>
      </c>
      <c r="B684" s="115">
        <v>805</v>
      </c>
      <c r="C684" s="8" t="s">
        <v>203</v>
      </c>
      <c r="D684" s="8" t="s">
        <v>203</v>
      </c>
      <c r="E684" s="115" t="s">
        <v>420</v>
      </c>
      <c r="F684" s="115"/>
      <c r="G684" s="70">
        <f t="shared" si="145"/>
        <v>6052</v>
      </c>
      <c r="H684" s="70">
        <f t="shared" si="145"/>
        <v>0</v>
      </c>
      <c r="I684" s="70">
        <f t="shared" si="135"/>
        <v>6052</v>
      </c>
      <c r="J684" s="70">
        <f t="shared" si="145"/>
        <v>0</v>
      </c>
      <c r="K684" s="87">
        <f t="shared" si="132"/>
        <v>6052</v>
      </c>
      <c r="L684" s="13">
        <f t="shared" si="145"/>
        <v>0</v>
      </c>
      <c r="M684" s="87">
        <f t="shared" si="140"/>
        <v>6052</v>
      </c>
      <c r="N684" s="13">
        <f t="shared" si="145"/>
        <v>0</v>
      </c>
      <c r="O684" s="87">
        <f t="shared" si="141"/>
        <v>6052</v>
      </c>
      <c r="P684" s="13">
        <f t="shared" si="145"/>
        <v>0</v>
      </c>
      <c r="Q684" s="87">
        <f t="shared" si="136"/>
        <v>6052</v>
      </c>
      <c r="R684" s="13">
        <f t="shared" si="145"/>
        <v>0</v>
      </c>
      <c r="S684" s="87">
        <f t="shared" si="133"/>
        <v>6052</v>
      </c>
    </row>
    <row r="685" spans="1:19" ht="68.25" customHeight="1">
      <c r="A685" s="62" t="str">
        <f ca="1">IF(ISERROR(MATCH(E685,Код_КЦСР,0)),"",INDIRECT(ADDRESS(MATCH(E685,Код_КЦСР,0)+1,2,,,"КЦСР")))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85" s="115">
        <v>805</v>
      </c>
      <c r="C685" s="8" t="s">
        <v>203</v>
      </c>
      <c r="D685" s="8" t="s">
        <v>203</v>
      </c>
      <c r="E685" s="115" t="s">
        <v>422</v>
      </c>
      <c r="F685" s="115"/>
      <c r="G685" s="70">
        <f t="shared" si="145"/>
        <v>6052</v>
      </c>
      <c r="H685" s="70">
        <f t="shared" si="145"/>
        <v>0</v>
      </c>
      <c r="I685" s="70">
        <f t="shared" si="135"/>
        <v>6052</v>
      </c>
      <c r="J685" s="70">
        <f t="shared" si="145"/>
        <v>0</v>
      </c>
      <c r="K685" s="87">
        <f t="shared" si="132"/>
        <v>6052</v>
      </c>
      <c r="L685" s="13">
        <f t="shared" si="145"/>
        <v>0</v>
      </c>
      <c r="M685" s="87">
        <f t="shared" si="140"/>
        <v>6052</v>
      </c>
      <c r="N685" s="13">
        <f t="shared" si="145"/>
        <v>0</v>
      </c>
      <c r="O685" s="87">
        <f t="shared" si="141"/>
        <v>6052</v>
      </c>
      <c r="P685" s="13">
        <f t="shared" si="145"/>
        <v>0</v>
      </c>
      <c r="Q685" s="87">
        <f t="shared" si="136"/>
        <v>6052</v>
      </c>
      <c r="R685" s="13">
        <f t="shared" si="145"/>
        <v>0</v>
      </c>
      <c r="S685" s="87">
        <f t="shared" si="133"/>
        <v>6052</v>
      </c>
    </row>
    <row r="686" spans="1:19" ht="12.75">
      <c r="A686" s="62" t="str">
        <f ca="1">IF(ISERROR(MATCH(F686,Код_КВР,0)),"",INDIRECT(ADDRESS(MATCH(F686,Код_КВР,0)+1,2,,,"КВР")))</f>
        <v>Социальное обеспечение и иные выплаты населению</v>
      </c>
      <c r="B686" s="115">
        <v>805</v>
      </c>
      <c r="C686" s="8" t="s">
        <v>203</v>
      </c>
      <c r="D686" s="8" t="s">
        <v>203</v>
      </c>
      <c r="E686" s="115" t="s">
        <v>422</v>
      </c>
      <c r="F686" s="115">
        <v>300</v>
      </c>
      <c r="G686" s="70">
        <f t="shared" si="145"/>
        <v>6052</v>
      </c>
      <c r="H686" s="70">
        <f t="shared" si="145"/>
        <v>0</v>
      </c>
      <c r="I686" s="70">
        <f t="shared" si="135"/>
        <v>6052</v>
      </c>
      <c r="J686" s="70">
        <f t="shared" si="145"/>
        <v>0</v>
      </c>
      <c r="K686" s="87">
        <f t="shared" si="132"/>
        <v>6052</v>
      </c>
      <c r="L686" s="13">
        <f t="shared" si="145"/>
        <v>0</v>
      </c>
      <c r="M686" s="87">
        <f t="shared" si="140"/>
        <v>6052</v>
      </c>
      <c r="N686" s="13">
        <f t="shared" si="145"/>
        <v>0</v>
      </c>
      <c r="O686" s="87">
        <f t="shared" si="141"/>
        <v>6052</v>
      </c>
      <c r="P686" s="13">
        <f t="shared" si="145"/>
        <v>0</v>
      </c>
      <c r="Q686" s="87">
        <f t="shared" si="136"/>
        <v>6052</v>
      </c>
      <c r="R686" s="13">
        <f t="shared" si="145"/>
        <v>0</v>
      </c>
      <c r="S686" s="87">
        <f t="shared" si="133"/>
        <v>6052</v>
      </c>
    </row>
    <row r="687" spans="1:19" ht="33">
      <c r="A687" s="62" t="str">
        <f ca="1">IF(ISERROR(MATCH(F687,Код_КВР,0)),"",INDIRECT(ADDRESS(MATCH(F687,Код_КВР,0)+1,2,,,"КВР")))</f>
        <v>Социальные выплаты гражданам, кроме публичных нормативных социальных выплат</v>
      </c>
      <c r="B687" s="115">
        <v>805</v>
      </c>
      <c r="C687" s="8" t="s">
        <v>203</v>
      </c>
      <c r="D687" s="8" t="s">
        <v>203</v>
      </c>
      <c r="E687" s="115" t="s">
        <v>422</v>
      </c>
      <c r="F687" s="115">
        <v>320</v>
      </c>
      <c r="G687" s="70">
        <f t="shared" si="145"/>
        <v>6052</v>
      </c>
      <c r="H687" s="70">
        <f t="shared" si="145"/>
        <v>0</v>
      </c>
      <c r="I687" s="70">
        <f t="shared" si="135"/>
        <v>6052</v>
      </c>
      <c r="J687" s="70">
        <f t="shared" si="145"/>
        <v>0</v>
      </c>
      <c r="K687" s="87">
        <f t="shared" si="132"/>
        <v>6052</v>
      </c>
      <c r="L687" s="13">
        <f t="shared" si="145"/>
        <v>0</v>
      </c>
      <c r="M687" s="87">
        <f t="shared" si="140"/>
        <v>6052</v>
      </c>
      <c r="N687" s="13">
        <f t="shared" si="145"/>
        <v>0</v>
      </c>
      <c r="O687" s="87">
        <f t="shared" si="141"/>
        <v>6052</v>
      </c>
      <c r="P687" s="13">
        <f t="shared" si="145"/>
        <v>0</v>
      </c>
      <c r="Q687" s="87">
        <f t="shared" si="136"/>
        <v>6052</v>
      </c>
      <c r="R687" s="13">
        <f t="shared" si="145"/>
        <v>0</v>
      </c>
      <c r="S687" s="87">
        <f t="shared" si="133"/>
        <v>6052</v>
      </c>
    </row>
    <row r="688" spans="1:19" ht="33">
      <c r="A688" s="62" t="str">
        <f ca="1">IF(ISERROR(MATCH(F688,Код_КВР,0)),"",INDIRECT(ADDRESS(MATCH(F688,Код_КВР,0)+1,2,,,"КВР")))</f>
        <v>Приобретение товаров, работ, услуг в пользу граждан в целях их социального обеспечения</v>
      </c>
      <c r="B688" s="115">
        <v>805</v>
      </c>
      <c r="C688" s="8" t="s">
        <v>203</v>
      </c>
      <c r="D688" s="8" t="s">
        <v>203</v>
      </c>
      <c r="E688" s="115" t="s">
        <v>422</v>
      </c>
      <c r="F688" s="115">
        <v>323</v>
      </c>
      <c r="G688" s="70">
        <v>6052</v>
      </c>
      <c r="H688" s="65"/>
      <c r="I688" s="70">
        <f t="shared" si="135"/>
        <v>6052</v>
      </c>
      <c r="J688" s="65"/>
      <c r="K688" s="87">
        <f t="shared" si="132"/>
        <v>6052</v>
      </c>
      <c r="L688" s="87"/>
      <c r="M688" s="87">
        <f t="shared" si="140"/>
        <v>6052</v>
      </c>
      <c r="N688" s="87"/>
      <c r="O688" s="87">
        <f t="shared" si="141"/>
        <v>6052</v>
      </c>
      <c r="P688" s="87"/>
      <c r="Q688" s="87">
        <f t="shared" si="136"/>
        <v>6052</v>
      </c>
      <c r="R688" s="87"/>
      <c r="S688" s="87">
        <f t="shared" si="133"/>
        <v>6052</v>
      </c>
    </row>
    <row r="689" spans="1:19" ht="36" customHeight="1">
      <c r="A689" s="62" t="str">
        <f ca="1">IF(ISERROR(MATCH(E689,Код_КЦСР,0)),"",INDIRECT(ADDRESS(MATCH(E689,Код_КЦСР,0)+1,2,,,"КЦСР")))</f>
        <v>Муниципальная программа «Социальная поддержка граждан» на 2014-2018 годы</v>
      </c>
      <c r="B689" s="115">
        <v>805</v>
      </c>
      <c r="C689" s="8" t="s">
        <v>203</v>
      </c>
      <c r="D689" s="8" t="s">
        <v>203</v>
      </c>
      <c r="E689" s="115" t="s">
        <v>6</v>
      </c>
      <c r="F689" s="115"/>
      <c r="G689" s="70"/>
      <c r="H689" s="65"/>
      <c r="I689" s="70"/>
      <c r="J689" s="65">
        <f>J690</f>
        <v>2842.8</v>
      </c>
      <c r="K689" s="87">
        <f t="shared" si="132"/>
        <v>2842.8</v>
      </c>
      <c r="L689" s="87">
        <f>L690</f>
        <v>0</v>
      </c>
      <c r="M689" s="87">
        <f t="shared" si="140"/>
        <v>2842.8</v>
      </c>
      <c r="N689" s="87">
        <f>N690</f>
        <v>0</v>
      </c>
      <c r="O689" s="87">
        <f t="shared" si="141"/>
        <v>2842.8</v>
      </c>
      <c r="P689" s="87">
        <f>P690</f>
        <v>0</v>
      </c>
      <c r="Q689" s="87">
        <f t="shared" si="136"/>
        <v>2842.8</v>
      </c>
      <c r="R689" s="87">
        <f>R690</f>
        <v>0</v>
      </c>
      <c r="S689" s="87">
        <f t="shared" si="133"/>
        <v>2842.8</v>
      </c>
    </row>
    <row r="690" spans="1:19" ht="82.5">
      <c r="A690" s="62" t="str">
        <f ca="1">IF(ISERROR(MATCH(E690,Код_КЦСР,0)),"",INDIRECT(ADDRESS(MATCH(E690,Код_КЦСР,0)+1,2,,,"КЦСР")))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690" s="115">
        <v>805</v>
      </c>
      <c r="C690" s="8" t="s">
        <v>203</v>
      </c>
      <c r="D690" s="8" t="s">
        <v>203</v>
      </c>
      <c r="E690" s="115" t="s">
        <v>414</v>
      </c>
      <c r="F690" s="115"/>
      <c r="G690" s="70"/>
      <c r="H690" s="65"/>
      <c r="I690" s="70"/>
      <c r="J690" s="65">
        <f>J691</f>
        <v>2842.8</v>
      </c>
      <c r="K690" s="87">
        <f t="shared" si="132"/>
        <v>2842.8</v>
      </c>
      <c r="L690" s="87">
        <f>L691</f>
        <v>0</v>
      </c>
      <c r="M690" s="87">
        <f t="shared" si="140"/>
        <v>2842.8</v>
      </c>
      <c r="N690" s="87">
        <f>N691</f>
        <v>0</v>
      </c>
      <c r="O690" s="87">
        <f t="shared" si="141"/>
        <v>2842.8</v>
      </c>
      <c r="P690" s="87">
        <f>P691</f>
        <v>0</v>
      </c>
      <c r="Q690" s="87">
        <f t="shared" si="136"/>
        <v>2842.8</v>
      </c>
      <c r="R690" s="87">
        <f>R691</f>
        <v>0</v>
      </c>
      <c r="S690" s="87">
        <f t="shared" si="133"/>
        <v>2842.8</v>
      </c>
    </row>
    <row r="691" spans="1:19" ht="33">
      <c r="A691" s="62" t="str">
        <f ca="1">IF(ISERROR(MATCH(F691,Код_КВР,0)),"",INDIRECT(ADDRESS(MATCH(F691,Код_КВР,0)+1,2,,,"КВР")))</f>
        <v>Предоставление субсидий бюджетным, автономным учреждениям и иным некоммерческим организациям</v>
      </c>
      <c r="B691" s="115">
        <v>805</v>
      </c>
      <c r="C691" s="8" t="s">
        <v>203</v>
      </c>
      <c r="D691" s="8" t="s">
        <v>203</v>
      </c>
      <c r="E691" s="115" t="s">
        <v>414</v>
      </c>
      <c r="F691" s="115">
        <v>600</v>
      </c>
      <c r="G691" s="70"/>
      <c r="H691" s="65"/>
      <c r="I691" s="70"/>
      <c r="J691" s="65">
        <f>J692</f>
        <v>2842.8</v>
      </c>
      <c r="K691" s="87">
        <f t="shared" si="132"/>
        <v>2842.8</v>
      </c>
      <c r="L691" s="87">
        <f>L692</f>
        <v>0</v>
      </c>
      <c r="M691" s="87">
        <f t="shared" si="140"/>
        <v>2842.8</v>
      </c>
      <c r="N691" s="87">
        <f>N692</f>
        <v>0</v>
      </c>
      <c r="O691" s="87">
        <f t="shared" si="141"/>
        <v>2842.8</v>
      </c>
      <c r="P691" s="87">
        <f>P692</f>
        <v>0</v>
      </c>
      <c r="Q691" s="87">
        <f t="shared" si="136"/>
        <v>2842.8</v>
      </c>
      <c r="R691" s="87">
        <f>R692</f>
        <v>0</v>
      </c>
      <c r="S691" s="87">
        <f t="shared" si="133"/>
        <v>2842.8</v>
      </c>
    </row>
    <row r="692" spans="1:19" ht="12.75">
      <c r="A692" s="62" t="str">
        <f ca="1">IF(ISERROR(MATCH(F692,Код_КВР,0)),"",INDIRECT(ADDRESS(MATCH(F692,Код_КВР,0)+1,2,,,"КВР")))</f>
        <v>Субсидии автономным учреждениям</v>
      </c>
      <c r="B692" s="115">
        <v>805</v>
      </c>
      <c r="C692" s="8" t="s">
        <v>203</v>
      </c>
      <c r="D692" s="8" t="s">
        <v>203</v>
      </c>
      <c r="E692" s="115" t="s">
        <v>414</v>
      </c>
      <c r="F692" s="115">
        <v>620</v>
      </c>
      <c r="G692" s="70"/>
      <c r="H692" s="65"/>
      <c r="I692" s="70"/>
      <c r="J692" s="65">
        <f>J693</f>
        <v>2842.8</v>
      </c>
      <c r="K692" s="87">
        <f t="shared" si="132"/>
        <v>2842.8</v>
      </c>
      <c r="L692" s="87">
        <f>L693</f>
        <v>0</v>
      </c>
      <c r="M692" s="87">
        <f t="shared" si="140"/>
        <v>2842.8</v>
      </c>
      <c r="N692" s="87">
        <f>N693</f>
        <v>0</v>
      </c>
      <c r="O692" s="87">
        <f t="shared" si="141"/>
        <v>2842.8</v>
      </c>
      <c r="P692" s="87">
        <f>P693</f>
        <v>0</v>
      </c>
      <c r="Q692" s="87">
        <f t="shared" si="136"/>
        <v>2842.8</v>
      </c>
      <c r="R692" s="87">
        <f>R693</f>
        <v>0</v>
      </c>
      <c r="S692" s="87">
        <f t="shared" si="133"/>
        <v>2842.8</v>
      </c>
    </row>
    <row r="693" spans="1:19" ht="12.75">
      <c r="A693" s="62" t="str">
        <f ca="1">IF(ISERROR(MATCH(F693,Код_КВР,0)),"",INDIRECT(ADDRESS(MATCH(F693,Код_КВР,0)+1,2,,,"КВР")))</f>
        <v>Субсидии автономным учреждениям на иные цели</v>
      </c>
      <c r="B693" s="115">
        <v>805</v>
      </c>
      <c r="C693" s="8" t="s">
        <v>203</v>
      </c>
      <c r="D693" s="8" t="s">
        <v>203</v>
      </c>
      <c r="E693" s="115" t="s">
        <v>414</v>
      </c>
      <c r="F693" s="115">
        <v>622</v>
      </c>
      <c r="G693" s="70"/>
      <c r="H693" s="65"/>
      <c r="I693" s="70"/>
      <c r="J693" s="65">
        <v>2842.8</v>
      </c>
      <c r="K693" s="87">
        <f t="shared" si="132"/>
        <v>2842.8</v>
      </c>
      <c r="L693" s="87"/>
      <c r="M693" s="87">
        <f t="shared" si="140"/>
        <v>2842.8</v>
      </c>
      <c r="N693" s="87"/>
      <c r="O693" s="87">
        <f t="shared" si="141"/>
        <v>2842.8</v>
      </c>
      <c r="P693" s="87"/>
      <c r="Q693" s="87">
        <f t="shared" si="136"/>
        <v>2842.8</v>
      </c>
      <c r="R693" s="87"/>
      <c r="S693" s="87">
        <f t="shared" si="133"/>
        <v>2842.8</v>
      </c>
    </row>
    <row r="694" spans="1:19" ht="12.75">
      <c r="A694" s="12" t="s">
        <v>259</v>
      </c>
      <c r="B694" s="115">
        <v>805</v>
      </c>
      <c r="C694" s="8" t="s">
        <v>203</v>
      </c>
      <c r="D694" s="8" t="s">
        <v>227</v>
      </c>
      <c r="E694" s="115"/>
      <c r="F694" s="115"/>
      <c r="G694" s="70">
        <f>G695+G744+G753+G767+G780+G786</f>
        <v>149620.7</v>
      </c>
      <c r="H694" s="70">
        <f>H695+H744+H753+H767+H780+H786</f>
        <v>0</v>
      </c>
      <c r="I694" s="70">
        <f t="shared" si="135"/>
        <v>149620.7</v>
      </c>
      <c r="J694" s="70">
        <f>J695+J744+J753+J767+J780+J786</f>
        <v>-2333.0999999999995</v>
      </c>
      <c r="K694" s="87">
        <f t="shared" si="132"/>
        <v>147287.6</v>
      </c>
      <c r="L694" s="13">
        <f>L695+L744+L753+L767+L780+L786</f>
        <v>-260.2</v>
      </c>
      <c r="M694" s="87">
        <f t="shared" si="140"/>
        <v>147027.4</v>
      </c>
      <c r="N694" s="13">
        <f>N695+N744+N753+N767+N780+N786</f>
        <v>6917.5</v>
      </c>
      <c r="O694" s="87">
        <f t="shared" si="141"/>
        <v>153944.9</v>
      </c>
      <c r="P694" s="13">
        <f>P695+P744+P753+P767+P780+P786</f>
        <v>0</v>
      </c>
      <c r="Q694" s="87">
        <f t="shared" si="136"/>
        <v>153944.9</v>
      </c>
      <c r="R694" s="13">
        <f>R695+R744+R753+R767+R780+R786</f>
        <v>0</v>
      </c>
      <c r="S694" s="87">
        <f t="shared" si="133"/>
        <v>153944.9</v>
      </c>
    </row>
    <row r="695" spans="1:19" ht="18.75" customHeight="1">
      <c r="A695" s="62" t="str">
        <f ca="1">IF(ISERROR(MATCH(E695,Код_КЦСР,0)),"",INDIRECT(ADDRESS(MATCH(E695,Код_КЦСР,0)+1,2,,,"КЦСР")))</f>
        <v>Муниципальная программа «Развитие образования» на 2013-2022 годы</v>
      </c>
      <c r="B695" s="115">
        <v>805</v>
      </c>
      <c r="C695" s="8" t="s">
        <v>203</v>
      </c>
      <c r="D695" s="8" t="s">
        <v>227</v>
      </c>
      <c r="E695" s="115" t="s">
        <v>279</v>
      </c>
      <c r="F695" s="115"/>
      <c r="G695" s="70">
        <f>G696+G700+G707+G711+G724+G729+G735+G717</f>
        <v>117151.70000000001</v>
      </c>
      <c r="H695" s="70">
        <f>H696+H700+H707+H711+H724+H729+H735+H717</f>
        <v>0</v>
      </c>
      <c r="I695" s="70">
        <f>I696+I700+I707+I711+I724+I729+I735+I717</f>
        <v>117151.70000000001</v>
      </c>
      <c r="J695" s="70">
        <f>J696+J700+J707+J711+J724+J729+J735+J717</f>
        <v>-3791.3999999999996</v>
      </c>
      <c r="K695" s="87">
        <f t="shared" si="132"/>
        <v>113360.30000000002</v>
      </c>
      <c r="L695" s="13">
        <f>L696+L700+L707+L711+L724+L729+L735+L717</f>
        <v>-260.2</v>
      </c>
      <c r="M695" s="87">
        <f t="shared" si="140"/>
        <v>113100.10000000002</v>
      </c>
      <c r="N695" s="13">
        <f>N696+N700+N707+N711+N724+N729+N735+N717</f>
        <v>6917.5</v>
      </c>
      <c r="O695" s="87">
        <f t="shared" si="141"/>
        <v>120017.60000000002</v>
      </c>
      <c r="P695" s="13">
        <f>P696+P700+P707+P711+P724+P729+P735+P717</f>
        <v>0</v>
      </c>
      <c r="Q695" s="87">
        <f t="shared" si="136"/>
        <v>120017.60000000002</v>
      </c>
      <c r="R695" s="13">
        <f>R696+R700+R707+R711+R724+R729+R735+R717</f>
        <v>0</v>
      </c>
      <c r="S695" s="87">
        <f aca="true" t="shared" si="147" ref="S695:S758">Q695+R695</f>
        <v>120017.60000000002</v>
      </c>
    </row>
    <row r="696" spans="1:19" ht="36" customHeight="1">
      <c r="A696" s="62" t="str">
        <f ca="1">IF(ISERROR(MATCH(E696,Код_КЦСР,0)),"",INDIRECT(ADDRESS(MATCH(E696,Код_КЦСР,0)+1,2,,,"КЦСР")))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696" s="115">
        <v>805</v>
      </c>
      <c r="C696" s="8" t="s">
        <v>203</v>
      </c>
      <c r="D696" s="8" t="s">
        <v>227</v>
      </c>
      <c r="E696" s="115" t="s">
        <v>281</v>
      </c>
      <c r="F696" s="115"/>
      <c r="G696" s="70">
        <f aca="true" t="shared" si="148" ref="G696:R698">G697</f>
        <v>92.7</v>
      </c>
      <c r="H696" s="70">
        <f t="shared" si="148"/>
        <v>0</v>
      </c>
      <c r="I696" s="70">
        <f t="shared" si="135"/>
        <v>92.7</v>
      </c>
      <c r="J696" s="70">
        <f t="shared" si="148"/>
        <v>0</v>
      </c>
      <c r="K696" s="87">
        <f t="shared" si="132"/>
        <v>92.7</v>
      </c>
      <c r="L696" s="13">
        <f t="shared" si="148"/>
        <v>0</v>
      </c>
      <c r="M696" s="87">
        <f t="shared" si="140"/>
        <v>92.7</v>
      </c>
      <c r="N696" s="13">
        <f t="shared" si="148"/>
        <v>0</v>
      </c>
      <c r="O696" s="87">
        <f t="shared" si="141"/>
        <v>92.7</v>
      </c>
      <c r="P696" s="13">
        <f t="shared" si="148"/>
        <v>0</v>
      </c>
      <c r="Q696" s="87">
        <f t="shared" si="136"/>
        <v>92.7</v>
      </c>
      <c r="R696" s="13">
        <f t="shared" si="148"/>
        <v>0</v>
      </c>
      <c r="S696" s="87">
        <f t="shared" si="147"/>
        <v>92.7</v>
      </c>
    </row>
    <row r="697" spans="1:19" ht="12.75">
      <c r="A697" s="62" t="str">
        <f ca="1">IF(ISERROR(MATCH(F697,Код_КВР,0)),"",INDIRECT(ADDRESS(MATCH(F697,Код_КВР,0)+1,2,,,"КВР")))</f>
        <v>Закупка товаров, работ и услуг для муниципальных нужд</v>
      </c>
      <c r="B697" s="115">
        <v>805</v>
      </c>
      <c r="C697" s="8" t="s">
        <v>203</v>
      </c>
      <c r="D697" s="8" t="s">
        <v>227</v>
      </c>
      <c r="E697" s="115" t="s">
        <v>281</v>
      </c>
      <c r="F697" s="115">
        <v>200</v>
      </c>
      <c r="G697" s="70">
        <f t="shared" si="148"/>
        <v>92.7</v>
      </c>
      <c r="H697" s="70">
        <f t="shared" si="148"/>
        <v>0</v>
      </c>
      <c r="I697" s="70">
        <f t="shared" si="135"/>
        <v>92.7</v>
      </c>
      <c r="J697" s="70">
        <f t="shared" si="148"/>
        <v>0</v>
      </c>
      <c r="K697" s="87">
        <f t="shared" si="132"/>
        <v>92.7</v>
      </c>
      <c r="L697" s="13">
        <f t="shared" si="148"/>
        <v>0</v>
      </c>
      <c r="M697" s="87">
        <f t="shared" si="140"/>
        <v>92.7</v>
      </c>
      <c r="N697" s="13">
        <f t="shared" si="148"/>
        <v>0</v>
      </c>
      <c r="O697" s="87">
        <f t="shared" si="141"/>
        <v>92.7</v>
      </c>
      <c r="P697" s="13">
        <f t="shared" si="148"/>
        <v>0</v>
      </c>
      <c r="Q697" s="87">
        <f t="shared" si="136"/>
        <v>92.7</v>
      </c>
      <c r="R697" s="13">
        <f t="shared" si="148"/>
        <v>0</v>
      </c>
      <c r="S697" s="87">
        <f t="shared" si="147"/>
        <v>92.7</v>
      </c>
    </row>
    <row r="698" spans="1:19" ht="33">
      <c r="A698" s="62" t="str">
        <f ca="1">IF(ISERROR(MATCH(F698,Код_КВР,0)),"",INDIRECT(ADDRESS(MATCH(F698,Код_КВР,0)+1,2,,,"КВР")))</f>
        <v>Иные закупки товаров, работ и услуг для обеспечения муниципальных нужд</v>
      </c>
      <c r="B698" s="115">
        <v>805</v>
      </c>
      <c r="C698" s="8" t="s">
        <v>203</v>
      </c>
      <c r="D698" s="8" t="s">
        <v>227</v>
      </c>
      <c r="E698" s="115" t="s">
        <v>281</v>
      </c>
      <c r="F698" s="115">
        <v>240</v>
      </c>
      <c r="G698" s="70">
        <f t="shared" si="148"/>
        <v>92.7</v>
      </c>
      <c r="H698" s="70">
        <f t="shared" si="148"/>
        <v>0</v>
      </c>
      <c r="I698" s="70">
        <f t="shared" si="135"/>
        <v>92.7</v>
      </c>
      <c r="J698" s="70">
        <f t="shared" si="148"/>
        <v>0</v>
      </c>
      <c r="K698" s="87">
        <f t="shared" si="132"/>
        <v>92.7</v>
      </c>
      <c r="L698" s="13">
        <f t="shared" si="148"/>
        <v>0</v>
      </c>
      <c r="M698" s="87">
        <f t="shared" si="140"/>
        <v>92.7</v>
      </c>
      <c r="N698" s="13">
        <f t="shared" si="148"/>
        <v>0</v>
      </c>
      <c r="O698" s="87">
        <f t="shared" si="141"/>
        <v>92.7</v>
      </c>
      <c r="P698" s="13">
        <f t="shared" si="148"/>
        <v>0</v>
      </c>
      <c r="Q698" s="87">
        <f t="shared" si="136"/>
        <v>92.7</v>
      </c>
      <c r="R698" s="13">
        <f t="shared" si="148"/>
        <v>0</v>
      </c>
      <c r="S698" s="87">
        <f t="shared" si="147"/>
        <v>92.7</v>
      </c>
    </row>
    <row r="699" spans="1:19" ht="33">
      <c r="A699" s="62" t="str">
        <f ca="1">IF(ISERROR(MATCH(F699,Код_КВР,0)),"",INDIRECT(ADDRESS(MATCH(F699,Код_КВР,0)+1,2,,,"КВР")))</f>
        <v xml:space="preserve">Прочая закупка товаров, работ и услуг для обеспечения муниципальных нужд         </v>
      </c>
      <c r="B699" s="115">
        <v>805</v>
      </c>
      <c r="C699" s="8" t="s">
        <v>203</v>
      </c>
      <c r="D699" s="8" t="s">
        <v>227</v>
      </c>
      <c r="E699" s="115" t="s">
        <v>281</v>
      </c>
      <c r="F699" s="115">
        <v>244</v>
      </c>
      <c r="G699" s="70">
        <v>92.7</v>
      </c>
      <c r="H699" s="65"/>
      <c r="I699" s="70">
        <f t="shared" si="135"/>
        <v>92.7</v>
      </c>
      <c r="J699" s="65"/>
      <c r="K699" s="87">
        <f t="shared" si="132"/>
        <v>92.7</v>
      </c>
      <c r="L699" s="87"/>
      <c r="M699" s="87">
        <f t="shared" si="140"/>
        <v>92.7</v>
      </c>
      <c r="N699" s="87"/>
      <c r="O699" s="87">
        <f t="shared" si="141"/>
        <v>92.7</v>
      </c>
      <c r="P699" s="87"/>
      <c r="Q699" s="87">
        <f t="shared" si="136"/>
        <v>92.7</v>
      </c>
      <c r="R699" s="87"/>
      <c r="S699" s="87">
        <f t="shared" si="147"/>
        <v>92.7</v>
      </c>
    </row>
    <row r="700" spans="1:19" ht="12.75">
      <c r="A700" s="62" t="str">
        <f ca="1">IF(ISERROR(MATCH(E700,Код_КЦСР,0)),"",INDIRECT(ADDRESS(MATCH(E700,Код_КЦСР,0)+1,2,,,"КЦСР")))</f>
        <v>Обеспечение питанием обучающихся в МОУ</v>
      </c>
      <c r="B700" s="115">
        <v>805</v>
      </c>
      <c r="C700" s="8" t="s">
        <v>203</v>
      </c>
      <c r="D700" s="8" t="s">
        <v>227</v>
      </c>
      <c r="E700" s="115" t="s">
        <v>282</v>
      </c>
      <c r="F700" s="115"/>
      <c r="G700" s="70">
        <f>G701</f>
        <v>6132.1</v>
      </c>
      <c r="H700" s="70">
        <f aca="true" t="shared" si="149" ref="G700:R702">H701</f>
        <v>0</v>
      </c>
      <c r="I700" s="70">
        <f t="shared" si="135"/>
        <v>6132.1</v>
      </c>
      <c r="J700" s="70">
        <f>J701</f>
        <v>0</v>
      </c>
      <c r="K700" s="87">
        <f aca="true" t="shared" si="150" ref="K700:K766">I700+J700</f>
        <v>6132.1</v>
      </c>
      <c r="L700" s="13">
        <f>L701</f>
        <v>-232.3</v>
      </c>
      <c r="M700" s="87">
        <f t="shared" si="140"/>
        <v>5899.8</v>
      </c>
      <c r="N700" s="13">
        <f>N701</f>
        <v>1917.5</v>
      </c>
      <c r="O700" s="87">
        <f t="shared" si="141"/>
        <v>7817.3</v>
      </c>
      <c r="P700" s="13">
        <f>P701</f>
        <v>0</v>
      </c>
      <c r="Q700" s="87">
        <f t="shared" si="136"/>
        <v>7817.3</v>
      </c>
      <c r="R700" s="13">
        <f>R701</f>
        <v>0</v>
      </c>
      <c r="S700" s="87">
        <f t="shared" si="147"/>
        <v>7817.3</v>
      </c>
    </row>
    <row r="701" spans="1:19" ht="33">
      <c r="A701" s="62" t="str">
        <f aca="true" t="shared" si="151" ref="A701:A706">IF(ISERROR(MATCH(F701,Код_КВР,0)),"",INDIRECT(ADDRESS(MATCH(F701,Код_КВР,0)+1,2,,,"КВР")))</f>
        <v>Предоставление субсидий бюджетным, автономным учреждениям и иным некоммерческим организациям</v>
      </c>
      <c r="B701" s="115">
        <v>805</v>
      </c>
      <c r="C701" s="8" t="s">
        <v>203</v>
      </c>
      <c r="D701" s="8" t="s">
        <v>227</v>
      </c>
      <c r="E701" s="115" t="s">
        <v>282</v>
      </c>
      <c r="F701" s="115">
        <v>600</v>
      </c>
      <c r="G701" s="70">
        <f t="shared" si="149"/>
        <v>6132.1</v>
      </c>
      <c r="H701" s="70">
        <f t="shared" si="149"/>
        <v>0</v>
      </c>
      <c r="I701" s="70">
        <f t="shared" si="135"/>
        <v>6132.1</v>
      </c>
      <c r="J701" s="70">
        <f>J702+J704</f>
        <v>0</v>
      </c>
      <c r="K701" s="87">
        <f t="shared" si="150"/>
        <v>6132.1</v>
      </c>
      <c r="L701" s="13">
        <f>L702+L704</f>
        <v>-232.3</v>
      </c>
      <c r="M701" s="87">
        <f t="shared" si="140"/>
        <v>5899.8</v>
      </c>
      <c r="N701" s="13">
        <f>N702+N704</f>
        <v>1917.5</v>
      </c>
      <c r="O701" s="87">
        <f t="shared" si="141"/>
        <v>7817.3</v>
      </c>
      <c r="P701" s="13">
        <f>P702+P704</f>
        <v>0</v>
      </c>
      <c r="Q701" s="87">
        <f aca="true" t="shared" si="152" ref="Q701:Q764">O701+P701</f>
        <v>7817.3</v>
      </c>
      <c r="R701" s="13">
        <f>R702+R704</f>
        <v>0</v>
      </c>
      <c r="S701" s="87">
        <f t="shared" si="147"/>
        <v>7817.3</v>
      </c>
    </row>
    <row r="702" spans="1:19" ht="12.75">
      <c r="A702" s="62" t="str">
        <f ca="1" t="shared" si="151"/>
        <v>Субсидии бюджетным учреждениям</v>
      </c>
      <c r="B702" s="115">
        <v>805</v>
      </c>
      <c r="C702" s="8" t="s">
        <v>203</v>
      </c>
      <c r="D702" s="8" t="s">
        <v>227</v>
      </c>
      <c r="E702" s="115" t="s">
        <v>282</v>
      </c>
      <c r="F702" s="115">
        <v>610</v>
      </c>
      <c r="G702" s="70">
        <f t="shared" si="149"/>
        <v>6132.1</v>
      </c>
      <c r="H702" s="70">
        <f t="shared" si="149"/>
        <v>0</v>
      </c>
      <c r="I702" s="70">
        <f t="shared" si="135"/>
        <v>6132.1</v>
      </c>
      <c r="J702" s="70">
        <f t="shared" si="149"/>
        <v>-4281.5</v>
      </c>
      <c r="K702" s="87">
        <f t="shared" si="150"/>
        <v>1850.6000000000004</v>
      </c>
      <c r="L702" s="13">
        <f t="shared" si="149"/>
        <v>0</v>
      </c>
      <c r="M702" s="87">
        <f t="shared" si="140"/>
        <v>1850.6000000000004</v>
      </c>
      <c r="N702" s="13">
        <f t="shared" si="149"/>
        <v>0</v>
      </c>
      <c r="O702" s="87">
        <f t="shared" si="141"/>
        <v>1850.6000000000004</v>
      </c>
      <c r="P702" s="13">
        <f t="shared" si="149"/>
        <v>0</v>
      </c>
      <c r="Q702" s="87">
        <f t="shared" si="152"/>
        <v>1850.6000000000004</v>
      </c>
      <c r="R702" s="13">
        <f t="shared" si="149"/>
        <v>0</v>
      </c>
      <c r="S702" s="87">
        <f t="shared" si="147"/>
        <v>1850.6000000000004</v>
      </c>
    </row>
    <row r="703" spans="1:19" ht="49.5">
      <c r="A703" s="62" t="str">
        <f ca="1" t="shared" si="151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03" s="115">
        <v>805</v>
      </c>
      <c r="C703" s="8" t="s">
        <v>203</v>
      </c>
      <c r="D703" s="8" t="s">
        <v>227</v>
      </c>
      <c r="E703" s="115" t="s">
        <v>282</v>
      </c>
      <c r="F703" s="115">
        <v>611</v>
      </c>
      <c r="G703" s="70">
        <v>6132.1</v>
      </c>
      <c r="H703" s="65"/>
      <c r="I703" s="70">
        <f t="shared" si="135"/>
        <v>6132.1</v>
      </c>
      <c r="J703" s="65">
        <v>-4281.5</v>
      </c>
      <c r="K703" s="87">
        <f t="shared" si="150"/>
        <v>1850.6000000000004</v>
      </c>
      <c r="L703" s="87"/>
      <c r="M703" s="87">
        <f t="shared" si="140"/>
        <v>1850.6000000000004</v>
      </c>
      <c r="N703" s="87"/>
      <c r="O703" s="87">
        <f t="shared" si="141"/>
        <v>1850.6000000000004</v>
      </c>
      <c r="P703" s="87"/>
      <c r="Q703" s="87">
        <f t="shared" si="152"/>
        <v>1850.6000000000004</v>
      </c>
      <c r="R703" s="87"/>
      <c r="S703" s="87">
        <f t="shared" si="147"/>
        <v>1850.6000000000004</v>
      </c>
    </row>
    <row r="704" spans="1:19" ht="12.75">
      <c r="A704" s="62" t="str">
        <f ca="1" t="shared" si="151"/>
        <v>Субсидии автономным учреждениям</v>
      </c>
      <c r="B704" s="115">
        <v>805</v>
      </c>
      <c r="C704" s="8" t="s">
        <v>203</v>
      </c>
      <c r="D704" s="8" t="s">
        <v>227</v>
      </c>
      <c r="E704" s="115" t="s">
        <v>282</v>
      </c>
      <c r="F704" s="115">
        <v>620</v>
      </c>
      <c r="G704" s="70"/>
      <c r="H704" s="65"/>
      <c r="I704" s="70"/>
      <c r="J704" s="65">
        <f>J705</f>
        <v>4281.5</v>
      </c>
      <c r="K704" s="87">
        <f t="shared" si="150"/>
        <v>4281.5</v>
      </c>
      <c r="L704" s="87">
        <f>L705</f>
        <v>-232.3</v>
      </c>
      <c r="M704" s="87">
        <f>K704+L704</f>
        <v>4049.2</v>
      </c>
      <c r="N704" s="87">
        <f>N705+N706</f>
        <v>1917.5</v>
      </c>
      <c r="O704" s="87">
        <f>M704+N704</f>
        <v>5966.7</v>
      </c>
      <c r="P704" s="87">
        <f>P705+P706</f>
        <v>0</v>
      </c>
      <c r="Q704" s="87">
        <f t="shared" si="152"/>
        <v>5966.7</v>
      </c>
      <c r="R704" s="87">
        <f>R705+R706</f>
        <v>0</v>
      </c>
      <c r="S704" s="87">
        <f t="shared" si="147"/>
        <v>5966.7</v>
      </c>
    </row>
    <row r="705" spans="1:19" ht="49.5">
      <c r="A705" s="62" t="str">
        <f ca="1" t="shared" si="151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05" s="115">
        <v>805</v>
      </c>
      <c r="C705" s="8" t="s">
        <v>203</v>
      </c>
      <c r="D705" s="8" t="s">
        <v>227</v>
      </c>
      <c r="E705" s="115" t="s">
        <v>282</v>
      </c>
      <c r="F705" s="115">
        <v>621</v>
      </c>
      <c r="G705" s="70"/>
      <c r="H705" s="65"/>
      <c r="I705" s="70"/>
      <c r="J705" s="65">
        <v>4281.5</v>
      </c>
      <c r="K705" s="87">
        <f t="shared" si="150"/>
        <v>4281.5</v>
      </c>
      <c r="L705" s="87">
        <v>-232.3</v>
      </c>
      <c r="M705" s="87">
        <f t="shared" si="140"/>
        <v>4049.2</v>
      </c>
      <c r="N705" s="87"/>
      <c r="O705" s="87">
        <f t="shared" si="141"/>
        <v>4049.2</v>
      </c>
      <c r="P705" s="87"/>
      <c r="Q705" s="87">
        <f t="shared" si="152"/>
        <v>4049.2</v>
      </c>
      <c r="R705" s="87"/>
      <c r="S705" s="87">
        <f t="shared" si="147"/>
        <v>4049.2</v>
      </c>
    </row>
    <row r="706" spans="1:19" s="94" customFormat="1" ht="20.25" customHeight="1">
      <c r="A706" s="62" t="str">
        <f ca="1" t="shared" si="151"/>
        <v>Субсидии автономным учреждениям на иные цели</v>
      </c>
      <c r="B706" s="115">
        <v>805</v>
      </c>
      <c r="C706" s="8" t="s">
        <v>203</v>
      </c>
      <c r="D706" s="8" t="s">
        <v>227</v>
      </c>
      <c r="E706" s="115" t="s">
        <v>282</v>
      </c>
      <c r="F706" s="115">
        <v>622</v>
      </c>
      <c r="G706" s="70"/>
      <c r="H706" s="65"/>
      <c r="I706" s="70"/>
      <c r="J706" s="65"/>
      <c r="K706" s="87"/>
      <c r="L706" s="87"/>
      <c r="M706" s="87"/>
      <c r="N706" s="87">
        <v>1917.5</v>
      </c>
      <c r="O706" s="87">
        <f t="shared" si="141"/>
        <v>1917.5</v>
      </c>
      <c r="P706" s="87"/>
      <c r="Q706" s="87">
        <f t="shared" si="152"/>
        <v>1917.5</v>
      </c>
      <c r="R706" s="87"/>
      <c r="S706" s="87">
        <f t="shared" si="147"/>
        <v>1917.5</v>
      </c>
    </row>
    <row r="707" spans="1:19" ht="33">
      <c r="A707" s="62" t="str">
        <f ca="1">IF(ISERROR(MATCH(E707,Код_КЦСР,0)),"",INDIRECT(ADDRESS(MATCH(E707,Код_КЦСР,0)+1,2,,,"КЦСР")))</f>
        <v>Обеспечение работы по организации и ведению бухгалтерского (бюджетного) учета и отчетности</v>
      </c>
      <c r="B707" s="115">
        <v>805</v>
      </c>
      <c r="C707" s="8" t="s">
        <v>203</v>
      </c>
      <c r="D707" s="8" t="s">
        <v>227</v>
      </c>
      <c r="E707" s="115" t="s">
        <v>284</v>
      </c>
      <c r="F707" s="115"/>
      <c r="G707" s="70">
        <f aca="true" t="shared" si="153" ref="G707:R709">G708</f>
        <v>43113.9</v>
      </c>
      <c r="H707" s="70">
        <f t="shared" si="153"/>
        <v>0</v>
      </c>
      <c r="I707" s="70">
        <f t="shared" si="135"/>
        <v>43113.9</v>
      </c>
      <c r="J707" s="70">
        <f t="shared" si="153"/>
        <v>0</v>
      </c>
      <c r="K707" s="87">
        <f t="shared" si="150"/>
        <v>43113.9</v>
      </c>
      <c r="L707" s="13">
        <f t="shared" si="153"/>
        <v>-27.9</v>
      </c>
      <c r="M707" s="87">
        <f t="shared" si="140"/>
        <v>43086</v>
      </c>
      <c r="N707" s="13">
        <f t="shared" si="153"/>
        <v>0</v>
      </c>
      <c r="O707" s="87">
        <f t="shared" si="141"/>
        <v>43086</v>
      </c>
      <c r="P707" s="13">
        <f t="shared" si="153"/>
        <v>0</v>
      </c>
      <c r="Q707" s="87">
        <f t="shared" si="152"/>
        <v>43086</v>
      </c>
      <c r="R707" s="13">
        <f t="shared" si="153"/>
        <v>0</v>
      </c>
      <c r="S707" s="87">
        <f t="shared" si="147"/>
        <v>43086</v>
      </c>
    </row>
    <row r="708" spans="1:19" ht="33">
      <c r="A708" s="62" t="str">
        <f ca="1">IF(ISERROR(MATCH(F708,Код_КВР,0)),"",INDIRECT(ADDRESS(MATCH(F708,Код_КВР,0)+1,2,,,"КВР")))</f>
        <v>Предоставление субсидий бюджетным, автономным учреждениям и иным некоммерческим организациям</v>
      </c>
      <c r="B708" s="115">
        <v>805</v>
      </c>
      <c r="C708" s="8" t="s">
        <v>203</v>
      </c>
      <c r="D708" s="8" t="s">
        <v>227</v>
      </c>
      <c r="E708" s="115" t="s">
        <v>284</v>
      </c>
      <c r="F708" s="115">
        <v>600</v>
      </c>
      <c r="G708" s="70">
        <f t="shared" si="153"/>
        <v>43113.9</v>
      </c>
      <c r="H708" s="70">
        <f t="shared" si="153"/>
        <v>0</v>
      </c>
      <c r="I708" s="70">
        <f t="shared" si="135"/>
        <v>43113.9</v>
      </c>
      <c r="J708" s="70">
        <f t="shared" si="153"/>
        <v>0</v>
      </c>
      <c r="K708" s="87">
        <f t="shared" si="150"/>
        <v>43113.9</v>
      </c>
      <c r="L708" s="13">
        <f t="shared" si="153"/>
        <v>-27.9</v>
      </c>
      <c r="M708" s="87">
        <f t="shared" si="140"/>
        <v>43086</v>
      </c>
      <c r="N708" s="13">
        <f t="shared" si="153"/>
        <v>0</v>
      </c>
      <c r="O708" s="87">
        <f t="shared" si="141"/>
        <v>43086</v>
      </c>
      <c r="P708" s="13">
        <f t="shared" si="153"/>
        <v>0</v>
      </c>
      <c r="Q708" s="87">
        <f t="shared" si="152"/>
        <v>43086</v>
      </c>
      <c r="R708" s="13">
        <f t="shared" si="153"/>
        <v>0</v>
      </c>
      <c r="S708" s="87">
        <f t="shared" si="147"/>
        <v>43086</v>
      </c>
    </row>
    <row r="709" spans="1:19" ht="12.75">
      <c r="A709" s="62" t="str">
        <f ca="1">IF(ISERROR(MATCH(F709,Код_КВР,0)),"",INDIRECT(ADDRESS(MATCH(F709,Код_КВР,0)+1,2,,,"КВР")))</f>
        <v>Субсидии бюджетным учреждениям</v>
      </c>
      <c r="B709" s="115">
        <v>805</v>
      </c>
      <c r="C709" s="8" t="s">
        <v>203</v>
      </c>
      <c r="D709" s="8" t="s">
        <v>227</v>
      </c>
      <c r="E709" s="115" t="s">
        <v>284</v>
      </c>
      <c r="F709" s="115">
        <v>610</v>
      </c>
      <c r="G709" s="70">
        <f t="shared" si="153"/>
        <v>43113.9</v>
      </c>
      <c r="H709" s="70">
        <f t="shared" si="153"/>
        <v>0</v>
      </c>
      <c r="I709" s="70">
        <f aca="true" t="shared" si="154" ref="I709:I781">G709+H709</f>
        <v>43113.9</v>
      </c>
      <c r="J709" s="70">
        <f t="shared" si="153"/>
        <v>0</v>
      </c>
      <c r="K709" s="87">
        <f t="shared" si="150"/>
        <v>43113.9</v>
      </c>
      <c r="L709" s="13">
        <f t="shared" si="153"/>
        <v>-27.9</v>
      </c>
      <c r="M709" s="87">
        <f t="shared" si="140"/>
        <v>43086</v>
      </c>
      <c r="N709" s="13">
        <f t="shared" si="153"/>
        <v>0</v>
      </c>
      <c r="O709" s="87">
        <f t="shared" si="141"/>
        <v>43086</v>
      </c>
      <c r="P709" s="13">
        <f t="shared" si="153"/>
        <v>0</v>
      </c>
      <c r="Q709" s="87">
        <f t="shared" si="152"/>
        <v>43086</v>
      </c>
      <c r="R709" s="13">
        <f t="shared" si="153"/>
        <v>0</v>
      </c>
      <c r="S709" s="87">
        <f t="shared" si="147"/>
        <v>43086</v>
      </c>
    </row>
    <row r="710" spans="1:19" ht="49.5">
      <c r="A710" s="62" t="str">
        <f ca="1">IF(ISERROR(MATCH(F710,Код_КВР,0)),"",INDIRECT(ADDRESS(MATCH(F710,Код_КВР,0)+1,2,,,"КВР")))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10" s="115">
        <v>805</v>
      </c>
      <c r="C710" s="8" t="s">
        <v>203</v>
      </c>
      <c r="D710" s="8" t="s">
        <v>227</v>
      </c>
      <c r="E710" s="115" t="s">
        <v>284</v>
      </c>
      <c r="F710" s="115">
        <v>611</v>
      </c>
      <c r="G710" s="70">
        <v>43113.9</v>
      </c>
      <c r="H710" s="65"/>
      <c r="I710" s="70">
        <f t="shared" si="154"/>
        <v>43113.9</v>
      </c>
      <c r="J710" s="65"/>
      <c r="K710" s="87">
        <f t="shared" si="150"/>
        <v>43113.9</v>
      </c>
      <c r="L710" s="87">
        <v>-27.9</v>
      </c>
      <c r="M710" s="87">
        <f t="shared" si="140"/>
        <v>43086</v>
      </c>
      <c r="N710" s="87"/>
      <c r="O710" s="87">
        <f t="shared" si="141"/>
        <v>43086</v>
      </c>
      <c r="P710" s="87"/>
      <c r="Q710" s="87">
        <f t="shared" si="152"/>
        <v>43086</v>
      </c>
      <c r="R710" s="87"/>
      <c r="S710" s="87">
        <f t="shared" si="147"/>
        <v>43086</v>
      </c>
    </row>
    <row r="711" spans="1:19" ht="33">
      <c r="A711" s="62" t="str">
        <f ca="1">IF(ISERROR(MATCH(E711,Код_КЦСР,0)),"",INDIRECT(ADDRESS(MATCH(E711,Код_КЦСР,0)+1,2,,,"КЦСР")))</f>
        <v>Обеспечение питанием обучающихся в МОУ за счет субвенций из областного бюджета</v>
      </c>
      <c r="B711" s="115">
        <v>805</v>
      </c>
      <c r="C711" s="8" t="s">
        <v>203</v>
      </c>
      <c r="D711" s="8" t="s">
        <v>227</v>
      </c>
      <c r="E711" s="115" t="s">
        <v>433</v>
      </c>
      <c r="F711" s="115"/>
      <c r="G711" s="70">
        <f aca="true" t="shared" si="155" ref="G711:R713">G712</f>
        <v>18137.8</v>
      </c>
      <c r="H711" s="70">
        <f t="shared" si="155"/>
        <v>0</v>
      </c>
      <c r="I711" s="70">
        <f t="shared" si="154"/>
        <v>18137.8</v>
      </c>
      <c r="J711" s="70">
        <f>J712</f>
        <v>0</v>
      </c>
      <c r="K711" s="87">
        <f t="shared" si="150"/>
        <v>18137.8</v>
      </c>
      <c r="L711" s="13">
        <f>L712</f>
        <v>0</v>
      </c>
      <c r="M711" s="87">
        <f t="shared" si="140"/>
        <v>18137.8</v>
      </c>
      <c r="N711" s="13">
        <f>N712</f>
        <v>0</v>
      </c>
      <c r="O711" s="87">
        <f t="shared" si="141"/>
        <v>18137.8</v>
      </c>
      <c r="P711" s="13">
        <f>P712</f>
        <v>0</v>
      </c>
      <c r="Q711" s="87">
        <f t="shared" si="152"/>
        <v>18137.8</v>
      </c>
      <c r="R711" s="13">
        <f>R712</f>
        <v>0</v>
      </c>
      <c r="S711" s="87">
        <f t="shared" si="147"/>
        <v>18137.8</v>
      </c>
    </row>
    <row r="712" spans="1:19" ht="33">
      <c r="A712" s="62" t="str">
        <f ca="1">IF(ISERROR(MATCH(F712,Код_КВР,0)),"",INDIRECT(ADDRESS(MATCH(F712,Код_КВР,0)+1,2,,,"КВР")))</f>
        <v>Предоставление субсидий бюджетным, автономным учреждениям и иным некоммерческим организациям</v>
      </c>
      <c r="B712" s="115">
        <v>805</v>
      </c>
      <c r="C712" s="8" t="s">
        <v>203</v>
      </c>
      <c r="D712" s="8" t="s">
        <v>227</v>
      </c>
      <c r="E712" s="115" t="s">
        <v>433</v>
      </c>
      <c r="F712" s="115">
        <v>600</v>
      </c>
      <c r="G712" s="70">
        <f t="shared" si="155"/>
        <v>18137.8</v>
      </c>
      <c r="H712" s="70">
        <f t="shared" si="155"/>
        <v>0</v>
      </c>
      <c r="I712" s="70">
        <f t="shared" si="154"/>
        <v>18137.8</v>
      </c>
      <c r="J712" s="70">
        <f>J713+J715</f>
        <v>0</v>
      </c>
      <c r="K712" s="87">
        <f t="shared" si="150"/>
        <v>18137.8</v>
      </c>
      <c r="L712" s="13">
        <f>L713+L715</f>
        <v>0</v>
      </c>
      <c r="M712" s="87">
        <f t="shared" si="140"/>
        <v>18137.8</v>
      </c>
      <c r="N712" s="13">
        <f>N713+N715</f>
        <v>0</v>
      </c>
      <c r="O712" s="87">
        <f t="shared" si="141"/>
        <v>18137.8</v>
      </c>
      <c r="P712" s="13">
        <f>P713+P715</f>
        <v>0</v>
      </c>
      <c r="Q712" s="87">
        <f t="shared" si="152"/>
        <v>18137.8</v>
      </c>
      <c r="R712" s="13">
        <f>R713+R715</f>
        <v>0</v>
      </c>
      <c r="S712" s="87">
        <f t="shared" si="147"/>
        <v>18137.8</v>
      </c>
    </row>
    <row r="713" spans="1:19" ht="12.75">
      <c r="A713" s="62" t="str">
        <f ca="1">IF(ISERROR(MATCH(F713,Код_КВР,0)),"",INDIRECT(ADDRESS(MATCH(F713,Код_КВР,0)+1,2,,,"КВР")))</f>
        <v>Субсидии бюджетным учреждениям</v>
      </c>
      <c r="B713" s="115">
        <v>805</v>
      </c>
      <c r="C713" s="8" t="s">
        <v>203</v>
      </c>
      <c r="D713" s="8" t="s">
        <v>227</v>
      </c>
      <c r="E713" s="115" t="s">
        <v>433</v>
      </c>
      <c r="F713" s="115">
        <v>610</v>
      </c>
      <c r="G713" s="70">
        <f t="shared" si="155"/>
        <v>18137.8</v>
      </c>
      <c r="H713" s="70">
        <f t="shared" si="155"/>
        <v>0</v>
      </c>
      <c r="I713" s="70">
        <f t="shared" si="154"/>
        <v>18137.8</v>
      </c>
      <c r="J713" s="70">
        <f t="shared" si="155"/>
        <v>-12299.8</v>
      </c>
      <c r="K713" s="87">
        <f t="shared" si="150"/>
        <v>5838</v>
      </c>
      <c r="L713" s="13">
        <f t="shared" si="155"/>
        <v>0</v>
      </c>
      <c r="M713" s="87">
        <f t="shared" si="140"/>
        <v>5838</v>
      </c>
      <c r="N713" s="13">
        <f t="shared" si="155"/>
        <v>0</v>
      </c>
      <c r="O713" s="87">
        <f t="shared" si="141"/>
        <v>5838</v>
      </c>
      <c r="P713" s="13">
        <f t="shared" si="155"/>
        <v>0</v>
      </c>
      <c r="Q713" s="87">
        <f t="shared" si="152"/>
        <v>5838</v>
      </c>
      <c r="R713" s="13">
        <f t="shared" si="155"/>
        <v>-614.2</v>
      </c>
      <c r="S713" s="87">
        <f t="shared" si="147"/>
        <v>5223.8</v>
      </c>
    </row>
    <row r="714" spans="1:19" ht="49.5">
      <c r="A714" s="62" t="str">
        <f ca="1">IF(ISERROR(MATCH(F714,Код_КВР,0)),"",INDIRECT(ADDRESS(MATCH(F714,Код_КВР,0)+1,2,,,"КВР")))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14" s="115">
        <v>805</v>
      </c>
      <c r="C714" s="8" t="s">
        <v>203</v>
      </c>
      <c r="D714" s="8" t="s">
        <v>227</v>
      </c>
      <c r="E714" s="115" t="s">
        <v>433</v>
      </c>
      <c r="F714" s="115">
        <v>611</v>
      </c>
      <c r="G714" s="70">
        <v>18137.8</v>
      </c>
      <c r="H714" s="65"/>
      <c r="I714" s="70">
        <f t="shared" si="154"/>
        <v>18137.8</v>
      </c>
      <c r="J714" s="65">
        <v>-12299.8</v>
      </c>
      <c r="K714" s="87">
        <f t="shared" si="150"/>
        <v>5838</v>
      </c>
      <c r="L714" s="87"/>
      <c r="M714" s="87">
        <f t="shared" si="140"/>
        <v>5838</v>
      </c>
      <c r="N714" s="87"/>
      <c r="O714" s="87">
        <f t="shared" si="141"/>
        <v>5838</v>
      </c>
      <c r="P714" s="87"/>
      <c r="Q714" s="87">
        <f t="shared" si="152"/>
        <v>5838</v>
      </c>
      <c r="R714" s="87">
        <v>-614.2</v>
      </c>
      <c r="S714" s="87">
        <f t="shared" si="147"/>
        <v>5223.8</v>
      </c>
    </row>
    <row r="715" spans="1:19" ht="12.75">
      <c r="A715" s="62" t="str">
        <f ca="1">IF(ISERROR(MATCH(F715,Код_КВР,0)),"",INDIRECT(ADDRESS(MATCH(F715,Код_КВР,0)+1,2,,,"КВР")))</f>
        <v>Субсидии автономным учреждениям</v>
      </c>
      <c r="B715" s="115">
        <v>805</v>
      </c>
      <c r="C715" s="8" t="s">
        <v>203</v>
      </c>
      <c r="D715" s="8" t="s">
        <v>227</v>
      </c>
      <c r="E715" s="115" t="s">
        <v>433</v>
      </c>
      <c r="F715" s="115">
        <v>620</v>
      </c>
      <c r="G715" s="70"/>
      <c r="H715" s="65"/>
      <c r="I715" s="70"/>
      <c r="J715" s="65">
        <f>J716</f>
        <v>12299.8</v>
      </c>
      <c r="K715" s="87">
        <f t="shared" si="150"/>
        <v>12299.8</v>
      </c>
      <c r="L715" s="87">
        <f>L716</f>
        <v>0</v>
      </c>
      <c r="M715" s="87">
        <f t="shared" si="140"/>
        <v>12299.8</v>
      </c>
      <c r="N715" s="87">
        <f>N716</f>
        <v>0</v>
      </c>
      <c r="O715" s="87">
        <f t="shared" si="141"/>
        <v>12299.8</v>
      </c>
      <c r="P715" s="87">
        <f>P716</f>
        <v>0</v>
      </c>
      <c r="Q715" s="87">
        <f t="shared" si="152"/>
        <v>12299.8</v>
      </c>
      <c r="R715" s="87">
        <f>R716</f>
        <v>614.2</v>
      </c>
      <c r="S715" s="87">
        <f t="shared" si="147"/>
        <v>12914</v>
      </c>
    </row>
    <row r="716" spans="1:19" ht="49.5">
      <c r="A716" s="62" t="str">
        <f ca="1">IF(ISERROR(MATCH(F716,Код_КВР,0)),"",INDIRECT(ADDRESS(MATCH(F716,Код_КВР,0)+1,2,,,"КВР")))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16" s="115">
        <v>805</v>
      </c>
      <c r="C716" s="8" t="s">
        <v>203</v>
      </c>
      <c r="D716" s="8" t="s">
        <v>227</v>
      </c>
      <c r="E716" s="115" t="s">
        <v>433</v>
      </c>
      <c r="F716" s="115">
        <v>621</v>
      </c>
      <c r="G716" s="70"/>
      <c r="H716" s="65"/>
      <c r="I716" s="70"/>
      <c r="J716" s="65">
        <v>12299.8</v>
      </c>
      <c r="K716" s="87">
        <f t="shared" si="150"/>
        <v>12299.8</v>
      </c>
      <c r="L716" s="87"/>
      <c r="M716" s="87">
        <f t="shared" si="140"/>
        <v>12299.8</v>
      </c>
      <c r="N716" s="87"/>
      <c r="O716" s="87">
        <f t="shared" si="141"/>
        <v>12299.8</v>
      </c>
      <c r="P716" s="87"/>
      <c r="Q716" s="87">
        <f t="shared" si="152"/>
        <v>12299.8</v>
      </c>
      <c r="R716" s="87">
        <v>614.2</v>
      </c>
      <c r="S716" s="87">
        <f t="shared" si="147"/>
        <v>12914</v>
      </c>
    </row>
    <row r="717" spans="1:19" ht="12.75">
      <c r="A717" s="62" t="str">
        <f ca="1">IF(ISERROR(MATCH(E717,Код_КЦСР,0)),"",INDIRECT(ADDRESS(MATCH(E717,Код_КЦСР,0)+1,2,,,"КЦСР")))</f>
        <v>Общее образование</v>
      </c>
      <c r="B717" s="115">
        <v>805</v>
      </c>
      <c r="C717" s="8" t="s">
        <v>203</v>
      </c>
      <c r="D717" s="8" t="s">
        <v>227</v>
      </c>
      <c r="E717" s="115" t="s">
        <v>288</v>
      </c>
      <c r="F717" s="115"/>
      <c r="G717" s="70"/>
      <c r="H717" s="70">
        <f>H718+H726+H730+H734+H740</f>
        <v>0</v>
      </c>
      <c r="I717" s="70">
        <f t="shared" si="154"/>
        <v>0</v>
      </c>
      <c r="J717" s="70">
        <f>J718</f>
        <v>7173</v>
      </c>
      <c r="K717" s="87">
        <f t="shared" si="150"/>
        <v>7173</v>
      </c>
      <c r="L717" s="13">
        <f>L718</f>
        <v>0</v>
      </c>
      <c r="M717" s="87">
        <f t="shared" si="140"/>
        <v>7173</v>
      </c>
      <c r="N717" s="13">
        <f>N718</f>
        <v>0</v>
      </c>
      <c r="O717" s="87">
        <f t="shared" si="141"/>
        <v>7173</v>
      </c>
      <c r="P717" s="13">
        <f>P718</f>
        <v>0</v>
      </c>
      <c r="Q717" s="87">
        <f t="shared" si="152"/>
        <v>7173</v>
      </c>
      <c r="R717" s="13">
        <f>R718</f>
        <v>0</v>
      </c>
      <c r="S717" s="87">
        <f t="shared" si="147"/>
        <v>7173</v>
      </c>
    </row>
    <row r="718" spans="1:19" ht="90.75" customHeight="1">
      <c r="A718" s="62" t="str">
        <f ca="1">IF(ISERROR(MATCH(E718,Код_КЦСР,0)),"",INDIRECT(ADDRESS(MATCH(E718,Код_КЦСР,0)+1,2,,,"КЦСР")))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718" s="115">
        <v>805</v>
      </c>
      <c r="C718" s="8" t="s">
        <v>203</v>
      </c>
      <c r="D718" s="8" t="s">
        <v>227</v>
      </c>
      <c r="E718" s="115" t="s">
        <v>445</v>
      </c>
      <c r="F718" s="115"/>
      <c r="G718" s="70"/>
      <c r="H718" s="70">
        <f>H719</f>
        <v>0</v>
      </c>
      <c r="I718" s="70">
        <f t="shared" si="154"/>
        <v>0</v>
      </c>
      <c r="J718" s="70">
        <f>J719</f>
        <v>7173</v>
      </c>
      <c r="K718" s="87">
        <f t="shared" si="150"/>
        <v>7173</v>
      </c>
      <c r="L718" s="13">
        <f>L719</f>
        <v>0</v>
      </c>
      <c r="M718" s="87">
        <f t="shared" si="140"/>
        <v>7173</v>
      </c>
      <c r="N718" s="13">
        <f>N719</f>
        <v>0</v>
      </c>
      <c r="O718" s="87">
        <f t="shared" si="141"/>
        <v>7173</v>
      </c>
      <c r="P718" s="13">
        <f>P719</f>
        <v>0</v>
      </c>
      <c r="Q718" s="87">
        <f t="shared" si="152"/>
        <v>7173</v>
      </c>
      <c r="R718" s="13">
        <f>R719</f>
        <v>0</v>
      </c>
      <c r="S718" s="87">
        <f t="shared" si="147"/>
        <v>7173</v>
      </c>
    </row>
    <row r="719" spans="1:19" ht="33">
      <c r="A719" s="62" t="str">
        <f ca="1">IF(ISERROR(MATCH(F719,Код_КВР,0)),"",INDIRECT(ADDRESS(MATCH(F719,Код_КВР,0)+1,2,,,"КВР")))</f>
        <v>Предоставление субсидий бюджетным, автономным учреждениям и иным некоммерческим организациям</v>
      </c>
      <c r="B719" s="115">
        <v>805</v>
      </c>
      <c r="C719" s="8" t="s">
        <v>203</v>
      </c>
      <c r="D719" s="8" t="s">
        <v>227</v>
      </c>
      <c r="E719" s="115" t="s">
        <v>445</v>
      </c>
      <c r="F719" s="115">
        <v>600</v>
      </c>
      <c r="G719" s="70"/>
      <c r="H719" s="70">
        <f>H720</f>
        <v>0</v>
      </c>
      <c r="I719" s="70">
        <f t="shared" si="154"/>
        <v>0</v>
      </c>
      <c r="J719" s="70">
        <f>J720+J722</f>
        <v>7173</v>
      </c>
      <c r="K719" s="87">
        <f t="shared" si="150"/>
        <v>7173</v>
      </c>
      <c r="L719" s="13">
        <f>L720+L722</f>
        <v>0</v>
      </c>
      <c r="M719" s="87">
        <f t="shared" si="140"/>
        <v>7173</v>
      </c>
      <c r="N719" s="13">
        <f>N720+N722</f>
        <v>0</v>
      </c>
      <c r="O719" s="87">
        <f t="shared" si="141"/>
        <v>7173</v>
      </c>
      <c r="P719" s="13">
        <f>P720+P722</f>
        <v>0</v>
      </c>
      <c r="Q719" s="87">
        <f t="shared" si="152"/>
        <v>7173</v>
      </c>
      <c r="R719" s="13">
        <f>R720+R722</f>
        <v>0</v>
      </c>
      <c r="S719" s="87">
        <f t="shared" si="147"/>
        <v>7173</v>
      </c>
    </row>
    <row r="720" spans="1:19" ht="12.75">
      <c r="A720" s="62" t="str">
        <f ca="1">IF(ISERROR(MATCH(F720,Код_КВР,0)),"",INDIRECT(ADDRESS(MATCH(F720,Код_КВР,0)+1,2,,,"КВР")))</f>
        <v>Субсидии бюджетным учреждениям</v>
      </c>
      <c r="B720" s="115">
        <v>805</v>
      </c>
      <c r="C720" s="8" t="s">
        <v>203</v>
      </c>
      <c r="D720" s="8" t="s">
        <v>227</v>
      </c>
      <c r="E720" s="115" t="s">
        <v>445</v>
      </c>
      <c r="F720" s="115">
        <v>610</v>
      </c>
      <c r="G720" s="70"/>
      <c r="H720" s="65"/>
      <c r="I720" s="70">
        <f t="shared" si="154"/>
        <v>0</v>
      </c>
      <c r="J720" s="70">
        <f>J721</f>
        <v>1874.9</v>
      </c>
      <c r="K720" s="87">
        <f t="shared" si="150"/>
        <v>1874.9</v>
      </c>
      <c r="L720" s="13">
        <f>L721</f>
        <v>0</v>
      </c>
      <c r="M720" s="87">
        <f t="shared" si="140"/>
        <v>1874.9</v>
      </c>
      <c r="N720" s="13">
        <f>N721</f>
        <v>0</v>
      </c>
      <c r="O720" s="87">
        <f t="shared" si="141"/>
        <v>1874.9</v>
      </c>
      <c r="P720" s="13">
        <f>P721</f>
        <v>0</v>
      </c>
      <c r="Q720" s="87">
        <f t="shared" si="152"/>
        <v>1874.9</v>
      </c>
      <c r="R720" s="13">
        <f>R721</f>
        <v>0</v>
      </c>
      <c r="S720" s="87">
        <f t="shared" si="147"/>
        <v>1874.9</v>
      </c>
    </row>
    <row r="721" spans="1:19" ht="49.5">
      <c r="A721" s="62" t="str">
        <f ca="1">IF(ISERROR(MATCH(F721,Код_КВР,0)),"",INDIRECT(ADDRESS(MATCH(F721,Код_КВР,0)+1,2,,,"КВР")))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1" s="115">
        <v>805</v>
      </c>
      <c r="C721" s="8" t="s">
        <v>203</v>
      </c>
      <c r="D721" s="8" t="s">
        <v>227</v>
      </c>
      <c r="E721" s="115" t="s">
        <v>445</v>
      </c>
      <c r="F721" s="115">
        <v>611</v>
      </c>
      <c r="G721" s="70"/>
      <c r="H721" s="65"/>
      <c r="I721" s="70">
        <f t="shared" si="154"/>
        <v>0</v>
      </c>
      <c r="J721" s="65">
        <f>166.5+1708.4</f>
        <v>1874.9</v>
      </c>
      <c r="K721" s="87">
        <f t="shared" si="150"/>
        <v>1874.9</v>
      </c>
      <c r="L721" s="87"/>
      <c r="M721" s="87">
        <f t="shared" si="140"/>
        <v>1874.9</v>
      </c>
      <c r="N721" s="87"/>
      <c r="O721" s="87">
        <f t="shared" si="141"/>
        <v>1874.9</v>
      </c>
      <c r="P721" s="87"/>
      <c r="Q721" s="87">
        <f t="shared" si="152"/>
        <v>1874.9</v>
      </c>
      <c r="R721" s="87"/>
      <c r="S721" s="87">
        <f t="shared" si="147"/>
        <v>1874.9</v>
      </c>
    </row>
    <row r="722" spans="1:19" ht="12.75">
      <c r="A722" s="62" t="str">
        <f ca="1">IF(ISERROR(MATCH(F722,Код_КВР,0)),"",INDIRECT(ADDRESS(MATCH(F722,Код_КВР,0)+1,2,,,"КВР")))</f>
        <v>Субсидии автономным учреждениям</v>
      </c>
      <c r="B722" s="115">
        <v>805</v>
      </c>
      <c r="C722" s="8" t="s">
        <v>203</v>
      </c>
      <c r="D722" s="8" t="s">
        <v>227</v>
      </c>
      <c r="E722" s="115" t="s">
        <v>445</v>
      </c>
      <c r="F722" s="115">
        <v>620</v>
      </c>
      <c r="G722" s="70"/>
      <c r="H722" s="65"/>
      <c r="I722" s="70"/>
      <c r="J722" s="65">
        <f>J723</f>
        <v>5298.1</v>
      </c>
      <c r="K722" s="87">
        <f t="shared" si="150"/>
        <v>5298.1</v>
      </c>
      <c r="L722" s="87">
        <f>L723</f>
        <v>0</v>
      </c>
      <c r="M722" s="87">
        <f t="shared" si="140"/>
        <v>5298.1</v>
      </c>
      <c r="N722" s="87">
        <f>N723</f>
        <v>0</v>
      </c>
      <c r="O722" s="87">
        <f t="shared" si="141"/>
        <v>5298.1</v>
      </c>
      <c r="P722" s="87">
        <f>P723</f>
        <v>0</v>
      </c>
      <c r="Q722" s="87">
        <f t="shared" si="152"/>
        <v>5298.1</v>
      </c>
      <c r="R722" s="87">
        <f>R723</f>
        <v>0</v>
      </c>
      <c r="S722" s="87">
        <f t="shared" si="147"/>
        <v>5298.1</v>
      </c>
    </row>
    <row r="723" spans="1:19" ht="49.5">
      <c r="A723" s="62" t="str">
        <f ca="1">IF(ISERROR(MATCH(F723,Код_КВР,0)),"",INDIRECT(ADDRESS(MATCH(F723,Код_КВР,0)+1,2,,,"КВР")))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23" s="115">
        <v>805</v>
      </c>
      <c r="C723" s="8" t="s">
        <v>203</v>
      </c>
      <c r="D723" s="8" t="s">
        <v>227</v>
      </c>
      <c r="E723" s="115" t="s">
        <v>445</v>
      </c>
      <c r="F723" s="115">
        <v>621</v>
      </c>
      <c r="G723" s="70"/>
      <c r="H723" s="65"/>
      <c r="I723" s="70"/>
      <c r="J723" s="65">
        <v>5298.1</v>
      </c>
      <c r="K723" s="87">
        <f t="shared" si="150"/>
        <v>5298.1</v>
      </c>
      <c r="L723" s="87"/>
      <c r="M723" s="87">
        <f t="shared" si="140"/>
        <v>5298.1</v>
      </c>
      <c r="N723" s="87"/>
      <c r="O723" s="87">
        <f t="shared" si="141"/>
        <v>5298.1</v>
      </c>
      <c r="P723" s="87"/>
      <c r="Q723" s="87">
        <f t="shared" si="152"/>
        <v>5298.1</v>
      </c>
      <c r="R723" s="87"/>
      <c r="S723" s="87">
        <f t="shared" si="147"/>
        <v>5298.1</v>
      </c>
    </row>
    <row r="724" spans="1:19" ht="12.75">
      <c r="A724" s="62" t="str">
        <f ca="1">IF(ISERROR(MATCH(E724,Код_КЦСР,0)),"",INDIRECT(ADDRESS(MATCH(E724,Код_КЦСР,0)+1,2,,,"КЦСР")))</f>
        <v>Дополнительное образование</v>
      </c>
      <c r="B724" s="115">
        <v>805</v>
      </c>
      <c r="C724" s="8" t="s">
        <v>203</v>
      </c>
      <c r="D724" s="8" t="s">
        <v>227</v>
      </c>
      <c r="E724" s="115" t="s">
        <v>293</v>
      </c>
      <c r="F724" s="115"/>
      <c r="G724" s="70">
        <f aca="true" t="shared" si="156" ref="G724:R727">G725</f>
        <v>258</v>
      </c>
      <c r="H724" s="70">
        <f t="shared" si="156"/>
        <v>0</v>
      </c>
      <c r="I724" s="70">
        <f t="shared" si="154"/>
        <v>258</v>
      </c>
      <c r="J724" s="70">
        <f t="shared" si="156"/>
        <v>0</v>
      </c>
      <c r="K724" s="87">
        <f t="shared" si="150"/>
        <v>258</v>
      </c>
      <c r="L724" s="13">
        <f t="shared" si="156"/>
        <v>0</v>
      </c>
      <c r="M724" s="87">
        <f aca="true" t="shared" si="157" ref="M724:M787">K724+L724</f>
        <v>258</v>
      </c>
      <c r="N724" s="13">
        <f t="shared" si="156"/>
        <v>0</v>
      </c>
      <c r="O724" s="87">
        <f aca="true" t="shared" si="158" ref="O724:O787">M724+N724</f>
        <v>258</v>
      </c>
      <c r="P724" s="13">
        <f t="shared" si="156"/>
        <v>0</v>
      </c>
      <c r="Q724" s="87">
        <f t="shared" si="152"/>
        <v>258</v>
      </c>
      <c r="R724" s="13">
        <f t="shared" si="156"/>
        <v>0</v>
      </c>
      <c r="S724" s="87">
        <f t="shared" si="147"/>
        <v>258</v>
      </c>
    </row>
    <row r="725" spans="1:19" ht="49.5">
      <c r="A725" s="62" t="str">
        <f ca="1">IF(ISERROR(MATCH(E725,Код_КЦСР,0)),"",INDIRECT(ADDRESS(MATCH(E725,Код_КЦСР,0)+1,2,,,"КЦСР")))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725" s="115">
        <v>805</v>
      </c>
      <c r="C725" s="8" t="s">
        <v>203</v>
      </c>
      <c r="D725" s="8" t="s">
        <v>227</v>
      </c>
      <c r="E725" s="115" t="s">
        <v>297</v>
      </c>
      <c r="F725" s="115"/>
      <c r="G725" s="70">
        <f t="shared" si="156"/>
        <v>258</v>
      </c>
      <c r="H725" s="70">
        <f t="shared" si="156"/>
        <v>0</v>
      </c>
      <c r="I725" s="70">
        <f t="shared" si="154"/>
        <v>258</v>
      </c>
      <c r="J725" s="70">
        <f t="shared" si="156"/>
        <v>0</v>
      </c>
      <c r="K725" s="87">
        <f t="shared" si="150"/>
        <v>258</v>
      </c>
      <c r="L725" s="13">
        <f t="shared" si="156"/>
        <v>0</v>
      </c>
      <c r="M725" s="87">
        <f t="shared" si="157"/>
        <v>258</v>
      </c>
      <c r="N725" s="13">
        <f t="shared" si="156"/>
        <v>0</v>
      </c>
      <c r="O725" s="87">
        <f t="shared" si="158"/>
        <v>258</v>
      </c>
      <c r="P725" s="13">
        <f t="shared" si="156"/>
        <v>0</v>
      </c>
      <c r="Q725" s="87">
        <f t="shared" si="152"/>
        <v>258</v>
      </c>
      <c r="R725" s="13">
        <f t="shared" si="156"/>
        <v>0</v>
      </c>
      <c r="S725" s="87">
        <f t="shared" si="147"/>
        <v>258</v>
      </c>
    </row>
    <row r="726" spans="1:19" ht="33">
      <c r="A726" s="62" t="str">
        <f ca="1">IF(ISERROR(MATCH(F726,Код_КВР,0)),"",INDIRECT(ADDRESS(MATCH(F726,Код_КВР,0)+1,2,,,"КВР")))</f>
        <v>Предоставление субсидий бюджетным, автономным учреждениям и иным некоммерческим организациям</v>
      </c>
      <c r="B726" s="115">
        <v>805</v>
      </c>
      <c r="C726" s="8" t="s">
        <v>203</v>
      </c>
      <c r="D726" s="8" t="s">
        <v>227</v>
      </c>
      <c r="E726" s="115" t="s">
        <v>297</v>
      </c>
      <c r="F726" s="115">
        <v>600</v>
      </c>
      <c r="G726" s="70">
        <f t="shared" si="156"/>
        <v>258</v>
      </c>
      <c r="H726" s="70">
        <f t="shared" si="156"/>
        <v>0</v>
      </c>
      <c r="I726" s="70">
        <f t="shared" si="154"/>
        <v>258</v>
      </c>
      <c r="J726" s="70">
        <f t="shared" si="156"/>
        <v>0</v>
      </c>
      <c r="K726" s="87">
        <f t="shared" si="150"/>
        <v>258</v>
      </c>
      <c r="L726" s="13">
        <f t="shared" si="156"/>
        <v>0</v>
      </c>
      <c r="M726" s="87">
        <f t="shared" si="157"/>
        <v>258</v>
      </c>
      <c r="N726" s="13">
        <f t="shared" si="156"/>
        <v>0</v>
      </c>
      <c r="O726" s="87">
        <f t="shared" si="158"/>
        <v>258</v>
      </c>
      <c r="P726" s="13">
        <f t="shared" si="156"/>
        <v>0</v>
      </c>
      <c r="Q726" s="87">
        <f t="shared" si="152"/>
        <v>258</v>
      </c>
      <c r="R726" s="13">
        <f t="shared" si="156"/>
        <v>0</v>
      </c>
      <c r="S726" s="87">
        <f t="shared" si="147"/>
        <v>258</v>
      </c>
    </row>
    <row r="727" spans="1:19" ht="12.75">
      <c r="A727" s="62" t="str">
        <f ca="1">IF(ISERROR(MATCH(F727,Код_КВР,0)),"",INDIRECT(ADDRESS(MATCH(F727,Код_КВР,0)+1,2,,,"КВР")))</f>
        <v>Субсидии бюджетным учреждениям</v>
      </c>
      <c r="B727" s="115">
        <v>805</v>
      </c>
      <c r="C727" s="8" t="s">
        <v>203</v>
      </c>
      <c r="D727" s="8" t="s">
        <v>227</v>
      </c>
      <c r="E727" s="115" t="s">
        <v>297</v>
      </c>
      <c r="F727" s="115">
        <v>610</v>
      </c>
      <c r="G727" s="70">
        <f t="shared" si="156"/>
        <v>258</v>
      </c>
      <c r="H727" s="70">
        <f t="shared" si="156"/>
        <v>0</v>
      </c>
      <c r="I727" s="70">
        <f t="shared" si="154"/>
        <v>258</v>
      </c>
      <c r="J727" s="70">
        <f t="shared" si="156"/>
        <v>0</v>
      </c>
      <c r="K727" s="87">
        <f t="shared" si="150"/>
        <v>258</v>
      </c>
      <c r="L727" s="13">
        <f t="shared" si="156"/>
        <v>0</v>
      </c>
      <c r="M727" s="87">
        <f t="shared" si="157"/>
        <v>258</v>
      </c>
      <c r="N727" s="13">
        <f t="shared" si="156"/>
        <v>0</v>
      </c>
      <c r="O727" s="87">
        <f t="shared" si="158"/>
        <v>258</v>
      </c>
      <c r="P727" s="13">
        <f t="shared" si="156"/>
        <v>0</v>
      </c>
      <c r="Q727" s="87">
        <f t="shared" si="152"/>
        <v>258</v>
      </c>
      <c r="R727" s="13">
        <f t="shared" si="156"/>
        <v>0</v>
      </c>
      <c r="S727" s="87">
        <f t="shared" si="147"/>
        <v>258</v>
      </c>
    </row>
    <row r="728" spans="1:19" ht="49.5">
      <c r="A728" s="62" t="str">
        <f ca="1">IF(ISERROR(MATCH(F728,Код_КВР,0)),"",INDIRECT(ADDRESS(MATCH(F728,Код_КВР,0)+1,2,,,"КВР")))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8" s="115">
        <v>805</v>
      </c>
      <c r="C728" s="8" t="s">
        <v>203</v>
      </c>
      <c r="D728" s="8" t="s">
        <v>227</v>
      </c>
      <c r="E728" s="115" t="s">
        <v>297</v>
      </c>
      <c r="F728" s="115">
        <v>611</v>
      </c>
      <c r="G728" s="70">
        <v>258</v>
      </c>
      <c r="H728" s="65"/>
      <c r="I728" s="70">
        <f t="shared" si="154"/>
        <v>258</v>
      </c>
      <c r="J728" s="65"/>
      <c r="K728" s="87">
        <f t="shared" si="150"/>
        <v>258</v>
      </c>
      <c r="L728" s="87"/>
      <c r="M728" s="87">
        <f t="shared" si="157"/>
        <v>258</v>
      </c>
      <c r="N728" s="87"/>
      <c r="O728" s="87">
        <f t="shared" si="158"/>
        <v>258</v>
      </c>
      <c r="P728" s="87"/>
      <c r="Q728" s="87">
        <f t="shared" si="152"/>
        <v>258</v>
      </c>
      <c r="R728" s="87"/>
      <c r="S728" s="87">
        <f t="shared" si="147"/>
        <v>258</v>
      </c>
    </row>
    <row r="729" spans="1:19" ht="12.75">
      <c r="A729" s="62" t="str">
        <f ca="1">IF(ISERROR(MATCH(E729,Код_КЦСР,0)),"",INDIRECT(ADDRESS(MATCH(E729,Код_КЦСР,0)+1,2,,,"КЦСР")))</f>
        <v>Одаренные дети</v>
      </c>
      <c r="B729" s="115">
        <v>805</v>
      </c>
      <c r="C729" s="8" t="s">
        <v>203</v>
      </c>
      <c r="D729" s="8" t="s">
        <v>227</v>
      </c>
      <c r="E729" s="115" t="s">
        <v>468</v>
      </c>
      <c r="F729" s="115"/>
      <c r="G729" s="70">
        <f>G730</f>
        <v>1842.8</v>
      </c>
      <c r="H729" s="70">
        <f>H730</f>
        <v>0</v>
      </c>
      <c r="I729" s="70">
        <f t="shared" si="154"/>
        <v>1842.8</v>
      </c>
      <c r="J729" s="70">
        <f>J730</f>
        <v>0</v>
      </c>
      <c r="K729" s="87">
        <f t="shared" si="150"/>
        <v>1842.8</v>
      </c>
      <c r="L729" s="13">
        <f>L730</f>
        <v>0</v>
      </c>
      <c r="M729" s="87">
        <f t="shared" si="157"/>
        <v>1842.8</v>
      </c>
      <c r="N729" s="13">
        <f>N730</f>
        <v>0</v>
      </c>
      <c r="O729" s="87">
        <f t="shared" si="158"/>
        <v>1842.8</v>
      </c>
      <c r="P729" s="13">
        <f>P730</f>
        <v>0</v>
      </c>
      <c r="Q729" s="87">
        <f t="shared" si="152"/>
        <v>1842.8</v>
      </c>
      <c r="R729" s="13">
        <f>R730</f>
        <v>0</v>
      </c>
      <c r="S729" s="87">
        <f t="shared" si="147"/>
        <v>1842.8</v>
      </c>
    </row>
    <row r="730" spans="1:19" ht="33">
      <c r="A730" s="62" t="str">
        <f ca="1">IF(ISERROR(MATCH(F730,Код_КВР,0)),"",INDIRECT(ADDRESS(MATCH(F730,Код_КВР,0)+1,2,,,"КВР")))</f>
        <v>Предоставление субсидий бюджетным, автономным учреждениям и иным некоммерческим организациям</v>
      </c>
      <c r="B730" s="115">
        <v>805</v>
      </c>
      <c r="C730" s="8" t="s">
        <v>203</v>
      </c>
      <c r="D730" s="8" t="s">
        <v>227</v>
      </c>
      <c r="E730" s="115" t="s">
        <v>468</v>
      </c>
      <c r="F730" s="115">
        <v>600</v>
      </c>
      <c r="G730" s="70">
        <f>G731+G733</f>
        <v>1842.8</v>
      </c>
      <c r="H730" s="70">
        <f>H731+H733</f>
        <v>0</v>
      </c>
      <c r="I730" s="70">
        <f t="shared" si="154"/>
        <v>1842.8</v>
      </c>
      <c r="J730" s="70">
        <f>J731+J733</f>
        <v>0</v>
      </c>
      <c r="K730" s="87">
        <f t="shared" si="150"/>
        <v>1842.8</v>
      </c>
      <c r="L730" s="13">
        <f>L731+L733</f>
        <v>0</v>
      </c>
      <c r="M730" s="87">
        <f t="shared" si="157"/>
        <v>1842.8</v>
      </c>
      <c r="N730" s="13">
        <f>N731+N733</f>
        <v>0</v>
      </c>
      <c r="O730" s="87">
        <f t="shared" si="158"/>
        <v>1842.8</v>
      </c>
      <c r="P730" s="13">
        <f>P731+P733</f>
        <v>0</v>
      </c>
      <c r="Q730" s="87">
        <f t="shared" si="152"/>
        <v>1842.8</v>
      </c>
      <c r="R730" s="13">
        <f>R731+R733</f>
        <v>0</v>
      </c>
      <c r="S730" s="87">
        <f t="shared" si="147"/>
        <v>1842.8</v>
      </c>
    </row>
    <row r="731" spans="1:19" ht="12.75">
      <c r="A731" s="62" t="str">
        <f ca="1">IF(ISERROR(MATCH(F731,Код_КВР,0)),"",INDIRECT(ADDRESS(MATCH(F731,Код_КВР,0)+1,2,,,"КВР")))</f>
        <v>Субсидии бюджетным учреждениям</v>
      </c>
      <c r="B731" s="115">
        <v>805</v>
      </c>
      <c r="C731" s="8" t="s">
        <v>203</v>
      </c>
      <c r="D731" s="8" t="s">
        <v>227</v>
      </c>
      <c r="E731" s="115" t="s">
        <v>468</v>
      </c>
      <c r="F731" s="115">
        <v>610</v>
      </c>
      <c r="G731" s="70">
        <f>G732</f>
        <v>1808.8</v>
      </c>
      <c r="H731" s="70">
        <f>H732</f>
        <v>0</v>
      </c>
      <c r="I731" s="70">
        <f t="shared" si="154"/>
        <v>1808.8</v>
      </c>
      <c r="J731" s="70">
        <f>J732</f>
        <v>0</v>
      </c>
      <c r="K731" s="87">
        <f t="shared" si="150"/>
        <v>1808.8</v>
      </c>
      <c r="L731" s="13">
        <f>L732</f>
        <v>0</v>
      </c>
      <c r="M731" s="87">
        <f t="shared" si="157"/>
        <v>1808.8</v>
      </c>
      <c r="N731" s="13">
        <f>N732</f>
        <v>0</v>
      </c>
      <c r="O731" s="87">
        <f t="shared" si="158"/>
        <v>1808.8</v>
      </c>
      <c r="P731" s="13">
        <f>P732</f>
        <v>0</v>
      </c>
      <c r="Q731" s="87">
        <f t="shared" si="152"/>
        <v>1808.8</v>
      </c>
      <c r="R731" s="13">
        <f>R732</f>
        <v>0</v>
      </c>
      <c r="S731" s="87">
        <f t="shared" si="147"/>
        <v>1808.8</v>
      </c>
    </row>
    <row r="732" spans="1:19" ht="12.75">
      <c r="A732" s="62" t="str">
        <f ca="1">IF(ISERROR(MATCH(F732,Код_КВР,0)),"",INDIRECT(ADDRESS(MATCH(F732,Код_КВР,0)+1,2,,,"КВР")))</f>
        <v>Субсидии бюджетным учреждениям на иные цели</v>
      </c>
      <c r="B732" s="115">
        <v>805</v>
      </c>
      <c r="C732" s="8" t="s">
        <v>203</v>
      </c>
      <c r="D732" s="8" t="s">
        <v>227</v>
      </c>
      <c r="E732" s="115" t="s">
        <v>468</v>
      </c>
      <c r="F732" s="115">
        <v>612</v>
      </c>
      <c r="G732" s="70">
        <v>1808.8</v>
      </c>
      <c r="H732" s="65"/>
      <c r="I732" s="70">
        <f t="shared" si="154"/>
        <v>1808.8</v>
      </c>
      <c r="J732" s="65"/>
      <c r="K732" s="87">
        <f t="shared" si="150"/>
        <v>1808.8</v>
      </c>
      <c r="L732" s="87"/>
      <c r="M732" s="87">
        <f t="shared" si="157"/>
        <v>1808.8</v>
      </c>
      <c r="N732" s="87"/>
      <c r="O732" s="87">
        <f t="shared" si="158"/>
        <v>1808.8</v>
      </c>
      <c r="P732" s="87"/>
      <c r="Q732" s="87">
        <f t="shared" si="152"/>
        <v>1808.8</v>
      </c>
      <c r="R732" s="87"/>
      <c r="S732" s="87">
        <f t="shared" si="147"/>
        <v>1808.8</v>
      </c>
    </row>
    <row r="733" spans="1:19" ht="12.75">
      <c r="A733" s="62" t="str">
        <f ca="1">IF(ISERROR(MATCH(F733,Код_КВР,0)),"",INDIRECT(ADDRESS(MATCH(F733,Код_КВР,0)+1,2,,,"КВР")))</f>
        <v>Субсидии автономным учреждениям</v>
      </c>
      <c r="B733" s="115">
        <v>805</v>
      </c>
      <c r="C733" s="8" t="s">
        <v>203</v>
      </c>
      <c r="D733" s="8" t="s">
        <v>227</v>
      </c>
      <c r="E733" s="115" t="s">
        <v>468</v>
      </c>
      <c r="F733" s="115">
        <v>620</v>
      </c>
      <c r="G733" s="70">
        <f>G734</f>
        <v>34</v>
      </c>
      <c r="H733" s="70">
        <f>H734</f>
        <v>0</v>
      </c>
      <c r="I733" s="70">
        <f t="shared" si="154"/>
        <v>34</v>
      </c>
      <c r="J733" s="70">
        <f>J734</f>
        <v>0</v>
      </c>
      <c r="K733" s="87">
        <f t="shared" si="150"/>
        <v>34</v>
      </c>
      <c r="L733" s="13">
        <f>L734</f>
        <v>0</v>
      </c>
      <c r="M733" s="87">
        <f t="shared" si="157"/>
        <v>34</v>
      </c>
      <c r="N733" s="13">
        <f>N734</f>
        <v>0</v>
      </c>
      <c r="O733" s="87">
        <f t="shared" si="158"/>
        <v>34</v>
      </c>
      <c r="P733" s="13">
        <f>P734</f>
        <v>0</v>
      </c>
      <c r="Q733" s="87">
        <f t="shared" si="152"/>
        <v>34</v>
      </c>
      <c r="R733" s="13">
        <f>R734</f>
        <v>0</v>
      </c>
      <c r="S733" s="87">
        <f t="shared" si="147"/>
        <v>34</v>
      </c>
    </row>
    <row r="734" spans="1:19" ht="12.75">
      <c r="A734" s="62" t="str">
        <f ca="1">IF(ISERROR(MATCH(F734,Код_КВР,0)),"",INDIRECT(ADDRESS(MATCH(F734,Код_КВР,0)+1,2,,,"КВР")))</f>
        <v>Субсидии автономным учреждениям на иные цели</v>
      </c>
      <c r="B734" s="115">
        <v>805</v>
      </c>
      <c r="C734" s="8" t="s">
        <v>203</v>
      </c>
      <c r="D734" s="8" t="s">
        <v>227</v>
      </c>
      <c r="E734" s="115" t="s">
        <v>468</v>
      </c>
      <c r="F734" s="115">
        <v>622</v>
      </c>
      <c r="G734" s="70">
        <v>34</v>
      </c>
      <c r="H734" s="65"/>
      <c r="I734" s="70">
        <f t="shared" si="154"/>
        <v>34</v>
      </c>
      <c r="J734" s="65"/>
      <c r="K734" s="87">
        <f t="shared" si="150"/>
        <v>34</v>
      </c>
      <c r="L734" s="87"/>
      <c r="M734" s="87">
        <f t="shared" si="157"/>
        <v>34</v>
      </c>
      <c r="N734" s="87"/>
      <c r="O734" s="87">
        <f t="shared" si="158"/>
        <v>34</v>
      </c>
      <c r="P734" s="87"/>
      <c r="Q734" s="87">
        <f t="shared" si="152"/>
        <v>34</v>
      </c>
      <c r="R734" s="87"/>
      <c r="S734" s="87">
        <f t="shared" si="147"/>
        <v>34</v>
      </c>
    </row>
    <row r="735" spans="1:19" ht="33">
      <c r="A735" s="62" t="str">
        <f ca="1">IF(ISERROR(MATCH(E735,Код_КЦСР,0)),"",INDIRECT(ADDRESS(MATCH(E735,Код_КЦСР,0)+1,2,,,"КЦСР")))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735" s="115">
        <v>805</v>
      </c>
      <c r="C735" s="8" t="s">
        <v>203</v>
      </c>
      <c r="D735" s="8" t="s">
        <v>227</v>
      </c>
      <c r="E735" s="115" t="s">
        <v>470</v>
      </c>
      <c r="F735" s="115"/>
      <c r="G735" s="70">
        <f>G736+G739</f>
        <v>47574.4</v>
      </c>
      <c r="H735" s="70">
        <f>H736+H739</f>
        <v>0</v>
      </c>
      <c r="I735" s="70">
        <f t="shared" si="154"/>
        <v>47574.4</v>
      </c>
      <c r="J735" s="70">
        <f>J736+J739</f>
        <v>-10964.4</v>
      </c>
      <c r="K735" s="87">
        <f t="shared" si="150"/>
        <v>36610</v>
      </c>
      <c r="L735" s="13">
        <f>L736+L739</f>
        <v>0</v>
      </c>
      <c r="M735" s="87">
        <f t="shared" si="157"/>
        <v>36610</v>
      </c>
      <c r="N735" s="13">
        <f>N736+N739</f>
        <v>5000</v>
      </c>
      <c r="O735" s="87">
        <f t="shared" si="158"/>
        <v>41610</v>
      </c>
      <c r="P735" s="13">
        <f>P736+P739</f>
        <v>0</v>
      </c>
      <c r="Q735" s="87">
        <f t="shared" si="152"/>
        <v>41610</v>
      </c>
      <c r="R735" s="13">
        <f>R736+R739</f>
        <v>0</v>
      </c>
      <c r="S735" s="87">
        <f t="shared" si="147"/>
        <v>41610</v>
      </c>
    </row>
    <row r="736" spans="1:19" ht="12.75">
      <c r="A736" s="62" t="str">
        <f aca="true" t="shared" si="159" ref="A736:A743">IF(ISERROR(MATCH(F736,Код_КВР,0)),"",INDIRECT(ADDRESS(MATCH(F736,Код_КВР,0)+1,2,,,"КВР")))</f>
        <v>Закупка товаров, работ и услуг для муниципальных нужд</v>
      </c>
      <c r="B736" s="115">
        <v>805</v>
      </c>
      <c r="C736" s="8" t="s">
        <v>203</v>
      </c>
      <c r="D736" s="8" t="s">
        <v>227</v>
      </c>
      <c r="E736" s="115" t="s">
        <v>470</v>
      </c>
      <c r="F736" s="115">
        <v>200</v>
      </c>
      <c r="G736" s="70">
        <f>G737</f>
        <v>7200</v>
      </c>
      <c r="H736" s="70">
        <f>H737</f>
        <v>0</v>
      </c>
      <c r="I736" s="70">
        <f t="shared" si="154"/>
        <v>7200</v>
      </c>
      <c r="J736" s="70">
        <f>J737</f>
        <v>-4473.1</v>
      </c>
      <c r="K736" s="87">
        <f t="shared" si="150"/>
        <v>2726.8999999999996</v>
      </c>
      <c r="L736" s="13">
        <f>L737</f>
        <v>0</v>
      </c>
      <c r="M736" s="87">
        <f t="shared" si="157"/>
        <v>2726.8999999999996</v>
      </c>
      <c r="N736" s="13">
        <f>N737</f>
        <v>0</v>
      </c>
      <c r="O736" s="87">
        <f t="shared" si="158"/>
        <v>2726.8999999999996</v>
      </c>
      <c r="P736" s="13">
        <f>P737</f>
        <v>0</v>
      </c>
      <c r="Q736" s="87">
        <f t="shared" si="152"/>
        <v>2726.8999999999996</v>
      </c>
      <c r="R736" s="13">
        <f>R737</f>
        <v>0</v>
      </c>
      <c r="S736" s="87">
        <f t="shared" si="147"/>
        <v>2726.8999999999996</v>
      </c>
    </row>
    <row r="737" spans="1:19" ht="33">
      <c r="A737" s="62" t="str">
        <f ca="1" t="shared" si="159"/>
        <v>Иные закупки товаров, работ и услуг для обеспечения муниципальных нужд</v>
      </c>
      <c r="B737" s="115">
        <v>805</v>
      </c>
      <c r="C737" s="8" t="s">
        <v>203</v>
      </c>
      <c r="D737" s="8" t="s">
        <v>227</v>
      </c>
      <c r="E737" s="115" t="s">
        <v>470</v>
      </c>
      <c r="F737" s="115">
        <v>240</v>
      </c>
      <c r="G737" s="70">
        <f>G738</f>
        <v>7200</v>
      </c>
      <c r="H737" s="70">
        <f>H738</f>
        <v>0</v>
      </c>
      <c r="I737" s="70">
        <f t="shared" si="154"/>
        <v>7200</v>
      </c>
      <c r="J737" s="70">
        <f>J738</f>
        <v>-4473.1</v>
      </c>
      <c r="K737" s="87">
        <f t="shared" si="150"/>
        <v>2726.8999999999996</v>
      </c>
      <c r="L737" s="13">
        <f>L738</f>
        <v>0</v>
      </c>
      <c r="M737" s="87">
        <f t="shared" si="157"/>
        <v>2726.8999999999996</v>
      </c>
      <c r="N737" s="13">
        <f>N738</f>
        <v>0</v>
      </c>
      <c r="O737" s="87">
        <f t="shared" si="158"/>
        <v>2726.8999999999996</v>
      </c>
      <c r="P737" s="13">
        <f>P738</f>
        <v>0</v>
      </c>
      <c r="Q737" s="87">
        <f t="shared" si="152"/>
        <v>2726.8999999999996</v>
      </c>
      <c r="R737" s="13">
        <f>R738</f>
        <v>0</v>
      </c>
      <c r="S737" s="87">
        <f t="shared" si="147"/>
        <v>2726.8999999999996</v>
      </c>
    </row>
    <row r="738" spans="1:19" ht="33">
      <c r="A738" s="62" t="str">
        <f ca="1" t="shared" si="159"/>
        <v xml:space="preserve">Прочая закупка товаров, работ и услуг для обеспечения муниципальных нужд         </v>
      </c>
      <c r="B738" s="115">
        <v>805</v>
      </c>
      <c r="C738" s="8" t="s">
        <v>203</v>
      </c>
      <c r="D738" s="8" t="s">
        <v>227</v>
      </c>
      <c r="E738" s="115" t="s">
        <v>470</v>
      </c>
      <c r="F738" s="115">
        <v>244</v>
      </c>
      <c r="G738" s="70">
        <v>7200</v>
      </c>
      <c r="H738" s="65"/>
      <c r="I738" s="70">
        <f t="shared" si="154"/>
        <v>7200</v>
      </c>
      <c r="J738" s="65">
        <f>-424.7-4048.4</f>
        <v>-4473.1</v>
      </c>
      <c r="K738" s="87">
        <f t="shared" si="150"/>
        <v>2726.8999999999996</v>
      </c>
      <c r="L738" s="87"/>
      <c r="M738" s="87">
        <f t="shared" si="157"/>
        <v>2726.8999999999996</v>
      </c>
      <c r="N738" s="87"/>
      <c r="O738" s="87">
        <f t="shared" si="158"/>
        <v>2726.8999999999996</v>
      </c>
      <c r="P738" s="87"/>
      <c r="Q738" s="87">
        <f t="shared" si="152"/>
        <v>2726.8999999999996</v>
      </c>
      <c r="R738" s="87"/>
      <c r="S738" s="87">
        <f t="shared" si="147"/>
        <v>2726.8999999999996</v>
      </c>
    </row>
    <row r="739" spans="1:19" ht="33">
      <c r="A739" s="62" t="str">
        <f ca="1" t="shared" si="159"/>
        <v>Предоставление субсидий бюджетным, автономным учреждениям и иным некоммерческим организациям</v>
      </c>
      <c r="B739" s="115">
        <v>805</v>
      </c>
      <c r="C739" s="8" t="s">
        <v>203</v>
      </c>
      <c r="D739" s="8" t="s">
        <v>227</v>
      </c>
      <c r="E739" s="115" t="s">
        <v>470</v>
      </c>
      <c r="F739" s="115">
        <v>600</v>
      </c>
      <c r="G739" s="70">
        <f>G740+G742</f>
        <v>40374.4</v>
      </c>
      <c r="H739" s="65"/>
      <c r="I739" s="70">
        <f t="shared" si="154"/>
        <v>40374.4</v>
      </c>
      <c r="J739" s="65">
        <f>J740+J742</f>
        <v>-6491.299999999999</v>
      </c>
      <c r="K739" s="87">
        <f t="shared" si="150"/>
        <v>33883.100000000006</v>
      </c>
      <c r="L739" s="87">
        <f>L740+L742</f>
        <v>0</v>
      </c>
      <c r="M739" s="87">
        <f t="shared" si="157"/>
        <v>33883.100000000006</v>
      </c>
      <c r="N739" s="87">
        <f>N740+N742</f>
        <v>5000</v>
      </c>
      <c r="O739" s="87">
        <f t="shared" si="158"/>
        <v>38883.100000000006</v>
      </c>
      <c r="P739" s="87">
        <f>P740+P742</f>
        <v>0</v>
      </c>
      <c r="Q739" s="87">
        <f t="shared" si="152"/>
        <v>38883.100000000006</v>
      </c>
      <c r="R739" s="87">
        <f>R740+R742</f>
        <v>0</v>
      </c>
      <c r="S739" s="87">
        <f t="shared" si="147"/>
        <v>38883.100000000006</v>
      </c>
    </row>
    <row r="740" spans="1:19" ht="12.75">
      <c r="A740" s="62" t="str">
        <f ca="1" t="shared" si="159"/>
        <v>Субсидии бюджетным учреждениям</v>
      </c>
      <c r="B740" s="115">
        <v>805</v>
      </c>
      <c r="C740" s="8" t="s">
        <v>203</v>
      </c>
      <c r="D740" s="8" t="s">
        <v>227</v>
      </c>
      <c r="E740" s="115" t="s">
        <v>470</v>
      </c>
      <c r="F740" s="115">
        <v>610</v>
      </c>
      <c r="G740" s="70">
        <f>G741</f>
        <v>36781.3</v>
      </c>
      <c r="H740" s="70">
        <f>H741</f>
        <v>0</v>
      </c>
      <c r="I740" s="70">
        <f t="shared" si="154"/>
        <v>36781.3</v>
      </c>
      <c r="J740" s="70">
        <f>J741</f>
        <v>-6591.299999999999</v>
      </c>
      <c r="K740" s="87">
        <f t="shared" si="150"/>
        <v>30190.000000000004</v>
      </c>
      <c r="L740" s="13">
        <f>L741</f>
        <v>0</v>
      </c>
      <c r="M740" s="87">
        <f t="shared" si="157"/>
        <v>30190.000000000004</v>
      </c>
      <c r="N740" s="13">
        <f>N741</f>
        <v>5000</v>
      </c>
      <c r="O740" s="87">
        <f t="shared" si="158"/>
        <v>35190</v>
      </c>
      <c r="P740" s="13">
        <f>P741</f>
        <v>0</v>
      </c>
      <c r="Q740" s="87">
        <f t="shared" si="152"/>
        <v>35190</v>
      </c>
      <c r="R740" s="13">
        <f>R741</f>
        <v>2297.6</v>
      </c>
      <c r="S740" s="87">
        <f t="shared" si="147"/>
        <v>37487.6</v>
      </c>
    </row>
    <row r="741" spans="1:19" ht="12.75">
      <c r="A741" s="62" t="str">
        <f ca="1" t="shared" si="159"/>
        <v>Субсидии бюджетным учреждениям на иные цели</v>
      </c>
      <c r="B741" s="115">
        <v>805</v>
      </c>
      <c r="C741" s="8" t="s">
        <v>203</v>
      </c>
      <c r="D741" s="8" t="s">
        <v>227</v>
      </c>
      <c r="E741" s="115" t="s">
        <v>470</v>
      </c>
      <c r="F741" s="115">
        <v>612</v>
      </c>
      <c r="G741" s="70">
        <v>36781.3</v>
      </c>
      <c r="H741" s="65"/>
      <c r="I741" s="70">
        <f t="shared" si="154"/>
        <v>36781.3</v>
      </c>
      <c r="J741" s="65">
        <f>424.7+3948.4-10964.4</f>
        <v>-6591.299999999999</v>
      </c>
      <c r="K741" s="87">
        <f t="shared" si="150"/>
        <v>30190.000000000004</v>
      </c>
      <c r="L741" s="87"/>
      <c r="M741" s="87">
        <f t="shared" si="157"/>
        <v>30190.000000000004</v>
      </c>
      <c r="N741" s="87">
        <v>5000</v>
      </c>
      <c r="O741" s="87">
        <f t="shared" si="158"/>
        <v>35190</v>
      </c>
      <c r="P741" s="87"/>
      <c r="Q741" s="87">
        <f t="shared" si="152"/>
        <v>35190</v>
      </c>
      <c r="R741" s="87">
        <v>2297.6</v>
      </c>
      <c r="S741" s="87">
        <f t="shared" si="147"/>
        <v>37487.6</v>
      </c>
    </row>
    <row r="742" spans="1:19" ht="12.75">
      <c r="A742" s="62" t="str">
        <f ca="1" t="shared" si="159"/>
        <v>Субсидии автономным учреждениям</v>
      </c>
      <c r="B742" s="115">
        <v>805</v>
      </c>
      <c r="C742" s="8" t="s">
        <v>203</v>
      </c>
      <c r="D742" s="8" t="s">
        <v>227</v>
      </c>
      <c r="E742" s="115" t="s">
        <v>470</v>
      </c>
      <c r="F742" s="115">
        <v>620</v>
      </c>
      <c r="G742" s="70">
        <f>G743</f>
        <v>3593.1</v>
      </c>
      <c r="H742" s="70">
        <f>H743</f>
        <v>0</v>
      </c>
      <c r="I742" s="70">
        <f t="shared" si="154"/>
        <v>3593.1</v>
      </c>
      <c r="J742" s="70">
        <f>J743</f>
        <v>100</v>
      </c>
      <c r="K742" s="87">
        <f t="shared" si="150"/>
        <v>3693.1</v>
      </c>
      <c r="L742" s="13">
        <f>L743</f>
        <v>0</v>
      </c>
      <c r="M742" s="87">
        <f t="shared" si="157"/>
        <v>3693.1</v>
      </c>
      <c r="N742" s="13">
        <f>N743</f>
        <v>0</v>
      </c>
      <c r="O742" s="87">
        <f t="shared" si="158"/>
        <v>3693.1</v>
      </c>
      <c r="P742" s="13">
        <f>P743</f>
        <v>0</v>
      </c>
      <c r="Q742" s="87">
        <f t="shared" si="152"/>
        <v>3693.1</v>
      </c>
      <c r="R742" s="13">
        <f>R743</f>
        <v>-2297.6</v>
      </c>
      <c r="S742" s="87">
        <f t="shared" si="147"/>
        <v>1395.5</v>
      </c>
    </row>
    <row r="743" spans="1:19" ht="12.75">
      <c r="A743" s="62" t="str">
        <f ca="1" t="shared" si="159"/>
        <v>Субсидии автономным учреждениям на иные цели</v>
      </c>
      <c r="B743" s="115">
        <v>805</v>
      </c>
      <c r="C743" s="8" t="s">
        <v>203</v>
      </c>
      <c r="D743" s="8" t="s">
        <v>227</v>
      </c>
      <c r="E743" s="115" t="s">
        <v>470</v>
      </c>
      <c r="F743" s="115">
        <v>622</v>
      </c>
      <c r="G743" s="70">
        <v>3593.1</v>
      </c>
      <c r="H743" s="70"/>
      <c r="I743" s="70">
        <f t="shared" si="154"/>
        <v>3593.1</v>
      </c>
      <c r="J743" s="70">
        <v>100</v>
      </c>
      <c r="K743" s="87">
        <f t="shared" si="150"/>
        <v>3693.1</v>
      </c>
      <c r="L743" s="13"/>
      <c r="M743" s="87">
        <f t="shared" si="157"/>
        <v>3693.1</v>
      </c>
      <c r="N743" s="13"/>
      <c r="O743" s="87">
        <f t="shared" si="158"/>
        <v>3693.1</v>
      </c>
      <c r="P743" s="13"/>
      <c r="Q743" s="87">
        <f t="shared" si="152"/>
        <v>3693.1</v>
      </c>
      <c r="R743" s="13">
        <v>-2297.6</v>
      </c>
      <c r="S743" s="87">
        <f t="shared" si="147"/>
        <v>1395.5</v>
      </c>
    </row>
    <row r="744" spans="1:19" ht="33">
      <c r="A744" s="62" t="str">
        <f ca="1">IF(ISERROR(MATCH(E744,Код_КЦСР,0)),"",INDIRECT(ADDRESS(MATCH(E744,Код_КЦСР,0)+1,2,,,"КЦСР")))</f>
        <v>Муниципальная программа «Охрана окружающей среды» на 2013-2022 годы</v>
      </c>
      <c r="B744" s="115">
        <v>805</v>
      </c>
      <c r="C744" s="8" t="s">
        <v>203</v>
      </c>
      <c r="D744" s="8" t="s">
        <v>227</v>
      </c>
      <c r="E744" s="115" t="s">
        <v>547</v>
      </c>
      <c r="F744" s="115"/>
      <c r="G744" s="70">
        <f>G745+G749</f>
        <v>495</v>
      </c>
      <c r="H744" s="70">
        <f>H745+H749</f>
        <v>0</v>
      </c>
      <c r="I744" s="70">
        <f t="shared" si="154"/>
        <v>495</v>
      </c>
      <c r="J744" s="70">
        <f>J745+J749</f>
        <v>0</v>
      </c>
      <c r="K744" s="87">
        <f t="shared" si="150"/>
        <v>495</v>
      </c>
      <c r="L744" s="13">
        <f>L745+L749</f>
        <v>0</v>
      </c>
      <c r="M744" s="87">
        <f t="shared" si="157"/>
        <v>495</v>
      </c>
      <c r="N744" s="13">
        <f>N745+N749</f>
        <v>0</v>
      </c>
      <c r="O744" s="87">
        <f t="shared" si="158"/>
        <v>495</v>
      </c>
      <c r="P744" s="13">
        <f>P745+P749</f>
        <v>0</v>
      </c>
      <c r="Q744" s="87">
        <f t="shared" si="152"/>
        <v>495</v>
      </c>
      <c r="R744" s="13">
        <f>R745+R749</f>
        <v>0</v>
      </c>
      <c r="S744" s="87">
        <f t="shared" si="147"/>
        <v>495</v>
      </c>
    </row>
    <row r="745" spans="1:19" ht="33">
      <c r="A745" s="62" t="str">
        <f ca="1">IF(ISERROR(MATCH(E745,Код_КЦСР,0)),"",INDIRECT(ADDRESS(MATCH(E745,Код_КЦСР,0)+1,2,,,"КЦСР")))</f>
        <v>Организация мероприятий по экологическому образованию и воспитанию населения</v>
      </c>
      <c r="B745" s="115">
        <v>805</v>
      </c>
      <c r="C745" s="8" t="s">
        <v>203</v>
      </c>
      <c r="D745" s="8" t="s">
        <v>227</v>
      </c>
      <c r="E745" s="115" t="s">
        <v>551</v>
      </c>
      <c r="F745" s="115"/>
      <c r="G745" s="70">
        <f aca="true" t="shared" si="160" ref="G745:R747">G746</f>
        <v>465</v>
      </c>
      <c r="H745" s="70">
        <f t="shared" si="160"/>
        <v>0</v>
      </c>
      <c r="I745" s="70">
        <f t="shared" si="154"/>
        <v>465</v>
      </c>
      <c r="J745" s="70">
        <f t="shared" si="160"/>
        <v>0</v>
      </c>
      <c r="K745" s="87">
        <f t="shared" si="150"/>
        <v>465</v>
      </c>
      <c r="L745" s="13">
        <f t="shared" si="160"/>
        <v>0</v>
      </c>
      <c r="M745" s="87">
        <f t="shared" si="157"/>
        <v>465</v>
      </c>
      <c r="N745" s="13">
        <f t="shared" si="160"/>
        <v>0</v>
      </c>
      <c r="O745" s="87">
        <f t="shared" si="158"/>
        <v>465</v>
      </c>
      <c r="P745" s="13">
        <f t="shared" si="160"/>
        <v>0</v>
      </c>
      <c r="Q745" s="87">
        <f t="shared" si="152"/>
        <v>465</v>
      </c>
      <c r="R745" s="13">
        <f t="shared" si="160"/>
        <v>0</v>
      </c>
      <c r="S745" s="87">
        <f t="shared" si="147"/>
        <v>465</v>
      </c>
    </row>
    <row r="746" spans="1:19" ht="33">
      <c r="A746" s="62" t="str">
        <f ca="1">IF(ISERROR(MATCH(F746,Код_КВР,0)),"",INDIRECT(ADDRESS(MATCH(F746,Код_КВР,0)+1,2,,,"КВР")))</f>
        <v>Предоставление субсидий бюджетным, автономным учреждениям и иным некоммерческим организациям</v>
      </c>
      <c r="B746" s="115">
        <v>805</v>
      </c>
      <c r="C746" s="8" t="s">
        <v>203</v>
      </c>
      <c r="D746" s="8" t="s">
        <v>227</v>
      </c>
      <c r="E746" s="115" t="s">
        <v>551</v>
      </c>
      <c r="F746" s="115">
        <v>600</v>
      </c>
      <c r="G746" s="70">
        <f t="shared" si="160"/>
        <v>465</v>
      </c>
      <c r="H746" s="70">
        <f t="shared" si="160"/>
        <v>0</v>
      </c>
      <c r="I746" s="70">
        <f t="shared" si="154"/>
        <v>465</v>
      </c>
      <c r="J746" s="70">
        <f t="shared" si="160"/>
        <v>0</v>
      </c>
      <c r="K746" s="87">
        <f t="shared" si="150"/>
        <v>465</v>
      </c>
      <c r="L746" s="13">
        <f t="shared" si="160"/>
        <v>0</v>
      </c>
      <c r="M746" s="87">
        <f t="shared" si="157"/>
        <v>465</v>
      </c>
      <c r="N746" s="13">
        <f t="shared" si="160"/>
        <v>0</v>
      </c>
      <c r="O746" s="87">
        <f t="shared" si="158"/>
        <v>465</v>
      </c>
      <c r="P746" s="13">
        <f t="shared" si="160"/>
        <v>0</v>
      </c>
      <c r="Q746" s="87">
        <f t="shared" si="152"/>
        <v>465</v>
      </c>
      <c r="R746" s="13">
        <f t="shared" si="160"/>
        <v>0</v>
      </c>
      <c r="S746" s="87">
        <f t="shared" si="147"/>
        <v>465</v>
      </c>
    </row>
    <row r="747" spans="1:19" ht="12.75">
      <c r="A747" s="62" t="str">
        <f ca="1">IF(ISERROR(MATCH(F747,Код_КВР,0)),"",INDIRECT(ADDRESS(MATCH(F747,Код_КВР,0)+1,2,,,"КВР")))</f>
        <v>Субсидии бюджетным учреждениям</v>
      </c>
      <c r="B747" s="115">
        <v>805</v>
      </c>
      <c r="C747" s="8" t="s">
        <v>203</v>
      </c>
      <c r="D747" s="8" t="s">
        <v>227</v>
      </c>
      <c r="E747" s="115" t="s">
        <v>551</v>
      </c>
      <c r="F747" s="115">
        <v>610</v>
      </c>
      <c r="G747" s="70">
        <f t="shared" si="160"/>
        <v>465</v>
      </c>
      <c r="H747" s="70">
        <f t="shared" si="160"/>
        <v>0</v>
      </c>
      <c r="I747" s="70">
        <f t="shared" si="154"/>
        <v>465</v>
      </c>
      <c r="J747" s="70">
        <f t="shared" si="160"/>
        <v>0</v>
      </c>
      <c r="K747" s="87">
        <f t="shared" si="150"/>
        <v>465</v>
      </c>
      <c r="L747" s="13">
        <f t="shared" si="160"/>
        <v>0</v>
      </c>
      <c r="M747" s="87">
        <f t="shared" si="157"/>
        <v>465</v>
      </c>
      <c r="N747" s="13">
        <f t="shared" si="160"/>
        <v>0</v>
      </c>
      <c r="O747" s="87">
        <f t="shared" si="158"/>
        <v>465</v>
      </c>
      <c r="P747" s="13">
        <f t="shared" si="160"/>
        <v>0</v>
      </c>
      <c r="Q747" s="87">
        <f t="shared" si="152"/>
        <v>465</v>
      </c>
      <c r="R747" s="13">
        <f t="shared" si="160"/>
        <v>0</v>
      </c>
      <c r="S747" s="87">
        <f t="shared" si="147"/>
        <v>465</v>
      </c>
    </row>
    <row r="748" spans="1:19" ht="12.75">
      <c r="A748" s="62" t="str">
        <f ca="1">IF(ISERROR(MATCH(F748,Код_КВР,0)),"",INDIRECT(ADDRESS(MATCH(F748,Код_КВР,0)+1,2,,,"КВР")))</f>
        <v>Субсидии бюджетным учреждениям на иные цели</v>
      </c>
      <c r="B748" s="115">
        <v>805</v>
      </c>
      <c r="C748" s="8" t="s">
        <v>203</v>
      </c>
      <c r="D748" s="8" t="s">
        <v>227</v>
      </c>
      <c r="E748" s="115" t="s">
        <v>551</v>
      </c>
      <c r="F748" s="115">
        <v>612</v>
      </c>
      <c r="G748" s="70">
        <v>465</v>
      </c>
      <c r="H748" s="65"/>
      <c r="I748" s="70">
        <f t="shared" si="154"/>
        <v>465</v>
      </c>
      <c r="J748" s="65"/>
      <c r="K748" s="87">
        <f t="shared" si="150"/>
        <v>465</v>
      </c>
      <c r="L748" s="87"/>
      <c r="M748" s="87">
        <f t="shared" si="157"/>
        <v>465</v>
      </c>
      <c r="N748" s="87"/>
      <c r="O748" s="87">
        <f t="shared" si="158"/>
        <v>465</v>
      </c>
      <c r="P748" s="87"/>
      <c r="Q748" s="87">
        <f t="shared" si="152"/>
        <v>465</v>
      </c>
      <c r="R748" s="87"/>
      <c r="S748" s="87">
        <f t="shared" si="147"/>
        <v>465</v>
      </c>
    </row>
    <row r="749" spans="1:19" ht="18.75" customHeight="1">
      <c r="A749" s="62" t="str">
        <f ca="1">IF(ISERROR(MATCH(E749,Код_КЦСР,0)),"",INDIRECT(ADDRESS(MATCH(E749,Код_КЦСР,0)+1,2,,,"КЦСР")))</f>
        <v>Оборудование основных помещений МБДОУ бактерицидными лампами</v>
      </c>
      <c r="B749" s="115">
        <v>805</v>
      </c>
      <c r="C749" s="8" t="s">
        <v>203</v>
      </c>
      <c r="D749" s="8" t="s">
        <v>227</v>
      </c>
      <c r="E749" s="115" t="s">
        <v>553</v>
      </c>
      <c r="F749" s="115"/>
      <c r="G749" s="70">
        <f aca="true" t="shared" si="161" ref="G749:R751">G750</f>
        <v>30</v>
      </c>
      <c r="H749" s="70">
        <f t="shared" si="161"/>
        <v>0</v>
      </c>
      <c r="I749" s="70">
        <f t="shared" si="154"/>
        <v>30</v>
      </c>
      <c r="J749" s="70">
        <f t="shared" si="161"/>
        <v>0</v>
      </c>
      <c r="K749" s="87">
        <f t="shared" si="150"/>
        <v>30</v>
      </c>
      <c r="L749" s="13">
        <f t="shared" si="161"/>
        <v>0</v>
      </c>
      <c r="M749" s="87">
        <f t="shared" si="157"/>
        <v>30</v>
      </c>
      <c r="N749" s="13">
        <f t="shared" si="161"/>
        <v>0</v>
      </c>
      <c r="O749" s="87">
        <f t="shared" si="158"/>
        <v>30</v>
      </c>
      <c r="P749" s="13">
        <f t="shared" si="161"/>
        <v>0</v>
      </c>
      <c r="Q749" s="87">
        <f t="shared" si="152"/>
        <v>30</v>
      </c>
      <c r="R749" s="13">
        <f t="shared" si="161"/>
        <v>0</v>
      </c>
      <c r="S749" s="87">
        <f t="shared" si="147"/>
        <v>30</v>
      </c>
    </row>
    <row r="750" spans="1:19" ht="33">
      <c r="A750" s="62" t="str">
        <f ca="1">IF(ISERROR(MATCH(F750,Код_КВР,0)),"",INDIRECT(ADDRESS(MATCH(F750,Код_КВР,0)+1,2,,,"КВР")))</f>
        <v>Предоставление субсидий бюджетным, автономным учреждениям и иным некоммерческим организациям</v>
      </c>
      <c r="B750" s="115">
        <v>805</v>
      </c>
      <c r="C750" s="8" t="s">
        <v>203</v>
      </c>
      <c r="D750" s="8" t="s">
        <v>227</v>
      </c>
      <c r="E750" s="115" t="s">
        <v>553</v>
      </c>
      <c r="F750" s="115">
        <v>600</v>
      </c>
      <c r="G750" s="70">
        <f t="shared" si="161"/>
        <v>30</v>
      </c>
      <c r="H750" s="70">
        <f t="shared" si="161"/>
        <v>0</v>
      </c>
      <c r="I750" s="70">
        <f t="shared" si="154"/>
        <v>30</v>
      </c>
      <c r="J750" s="70">
        <f t="shared" si="161"/>
        <v>0</v>
      </c>
      <c r="K750" s="87">
        <f t="shared" si="150"/>
        <v>30</v>
      </c>
      <c r="L750" s="13">
        <f t="shared" si="161"/>
        <v>0</v>
      </c>
      <c r="M750" s="87">
        <f t="shared" si="157"/>
        <v>30</v>
      </c>
      <c r="N750" s="13">
        <f t="shared" si="161"/>
        <v>0</v>
      </c>
      <c r="O750" s="87">
        <f t="shared" si="158"/>
        <v>30</v>
      </c>
      <c r="P750" s="13">
        <f t="shared" si="161"/>
        <v>0</v>
      </c>
      <c r="Q750" s="87">
        <f t="shared" si="152"/>
        <v>30</v>
      </c>
      <c r="R750" s="13">
        <f t="shared" si="161"/>
        <v>0</v>
      </c>
      <c r="S750" s="87">
        <f t="shared" si="147"/>
        <v>30</v>
      </c>
    </row>
    <row r="751" spans="1:19" ht="12.75">
      <c r="A751" s="62" t="str">
        <f ca="1">IF(ISERROR(MATCH(F751,Код_КВР,0)),"",INDIRECT(ADDRESS(MATCH(F751,Код_КВР,0)+1,2,,,"КВР")))</f>
        <v>Субсидии бюджетным учреждениям</v>
      </c>
      <c r="B751" s="115">
        <v>805</v>
      </c>
      <c r="C751" s="8" t="s">
        <v>203</v>
      </c>
      <c r="D751" s="8" t="s">
        <v>227</v>
      </c>
      <c r="E751" s="115" t="s">
        <v>553</v>
      </c>
      <c r="F751" s="115">
        <v>610</v>
      </c>
      <c r="G751" s="70">
        <f t="shared" si="161"/>
        <v>30</v>
      </c>
      <c r="H751" s="70">
        <f t="shared" si="161"/>
        <v>0</v>
      </c>
      <c r="I751" s="70">
        <f t="shared" si="154"/>
        <v>30</v>
      </c>
      <c r="J751" s="70">
        <f t="shared" si="161"/>
        <v>0</v>
      </c>
      <c r="K751" s="87">
        <f t="shared" si="150"/>
        <v>30</v>
      </c>
      <c r="L751" s="13">
        <f t="shared" si="161"/>
        <v>0</v>
      </c>
      <c r="M751" s="87">
        <f t="shared" si="157"/>
        <v>30</v>
      </c>
      <c r="N751" s="13">
        <f t="shared" si="161"/>
        <v>0</v>
      </c>
      <c r="O751" s="87">
        <f t="shared" si="158"/>
        <v>30</v>
      </c>
      <c r="P751" s="13">
        <f t="shared" si="161"/>
        <v>0</v>
      </c>
      <c r="Q751" s="87">
        <f t="shared" si="152"/>
        <v>30</v>
      </c>
      <c r="R751" s="13">
        <f t="shared" si="161"/>
        <v>0</v>
      </c>
      <c r="S751" s="87">
        <f t="shared" si="147"/>
        <v>30</v>
      </c>
    </row>
    <row r="752" spans="1:19" ht="12.75">
      <c r="A752" s="62" t="str">
        <f ca="1">IF(ISERROR(MATCH(F752,Код_КВР,0)),"",INDIRECT(ADDRESS(MATCH(F752,Код_КВР,0)+1,2,,,"КВР")))</f>
        <v>Субсидии бюджетным учреждениям на иные цели</v>
      </c>
      <c r="B752" s="115">
        <v>805</v>
      </c>
      <c r="C752" s="8" t="s">
        <v>203</v>
      </c>
      <c r="D752" s="8" t="s">
        <v>227</v>
      </c>
      <c r="E752" s="115" t="s">
        <v>553</v>
      </c>
      <c r="F752" s="115">
        <v>612</v>
      </c>
      <c r="G752" s="70">
        <v>30</v>
      </c>
      <c r="H752" s="65"/>
      <c r="I752" s="70">
        <f t="shared" si="154"/>
        <v>30</v>
      </c>
      <c r="J752" s="65"/>
      <c r="K752" s="87">
        <f t="shared" si="150"/>
        <v>30</v>
      </c>
      <c r="L752" s="87"/>
      <c r="M752" s="87">
        <f t="shared" si="157"/>
        <v>30</v>
      </c>
      <c r="N752" s="87"/>
      <c r="O752" s="87">
        <f t="shared" si="158"/>
        <v>30</v>
      </c>
      <c r="P752" s="87"/>
      <c r="Q752" s="87">
        <f t="shared" si="152"/>
        <v>30</v>
      </c>
      <c r="R752" s="87"/>
      <c r="S752" s="87">
        <f t="shared" si="147"/>
        <v>30</v>
      </c>
    </row>
    <row r="753" spans="1:19" ht="12.75">
      <c r="A753" s="62" t="str">
        <f ca="1">IF(ISERROR(MATCH(E753,Код_КЦСР,0)),"",INDIRECT(ADDRESS(MATCH(E753,Код_КЦСР,0)+1,2,,,"КЦСР")))</f>
        <v>Муниципальная программа «Здоровый город» на 2014-2022 годы</v>
      </c>
      <c r="B753" s="115">
        <v>805</v>
      </c>
      <c r="C753" s="8" t="s">
        <v>203</v>
      </c>
      <c r="D753" s="8" t="s">
        <v>227</v>
      </c>
      <c r="E753" s="115" t="s">
        <v>579</v>
      </c>
      <c r="F753" s="115"/>
      <c r="G753" s="70">
        <f>G754+G763</f>
        <v>480</v>
      </c>
      <c r="H753" s="65"/>
      <c r="I753" s="70">
        <f t="shared" si="154"/>
        <v>480</v>
      </c>
      <c r="J753" s="65"/>
      <c r="K753" s="87">
        <f t="shared" si="150"/>
        <v>480</v>
      </c>
      <c r="L753" s="87"/>
      <c r="M753" s="87">
        <f t="shared" si="157"/>
        <v>480</v>
      </c>
      <c r="N753" s="87"/>
      <c r="O753" s="87">
        <f t="shared" si="158"/>
        <v>480</v>
      </c>
      <c r="P753" s="87"/>
      <c r="Q753" s="87">
        <f t="shared" si="152"/>
        <v>480</v>
      </c>
      <c r="R753" s="87"/>
      <c r="S753" s="87">
        <f t="shared" si="147"/>
        <v>480</v>
      </c>
    </row>
    <row r="754" spans="1:19" ht="12.75">
      <c r="A754" s="62" t="str">
        <f ca="1">IF(ISERROR(MATCH(E754,Код_КЦСР,0)),"",INDIRECT(ADDRESS(MATCH(E754,Код_КЦСР,0)+1,2,,,"КЦСР")))</f>
        <v>Сохранение и укрепление здоровья детей и подростков</v>
      </c>
      <c r="B754" s="115">
        <v>805</v>
      </c>
      <c r="C754" s="8" t="s">
        <v>203</v>
      </c>
      <c r="D754" s="8" t="s">
        <v>227</v>
      </c>
      <c r="E754" s="115" t="s">
        <v>582</v>
      </c>
      <c r="F754" s="115"/>
      <c r="G754" s="70">
        <f>G755+G758</f>
        <v>480</v>
      </c>
      <c r="H754" s="70">
        <f>H755+H758</f>
        <v>0</v>
      </c>
      <c r="I754" s="70">
        <f t="shared" si="154"/>
        <v>480</v>
      </c>
      <c r="J754" s="70">
        <f>J755+J758</f>
        <v>0</v>
      </c>
      <c r="K754" s="87">
        <f t="shared" si="150"/>
        <v>480</v>
      </c>
      <c r="L754" s="13">
        <f>L755+L758</f>
        <v>0</v>
      </c>
      <c r="M754" s="87">
        <f t="shared" si="157"/>
        <v>480</v>
      </c>
      <c r="N754" s="13">
        <f>N755+N758</f>
        <v>0</v>
      </c>
      <c r="O754" s="87">
        <f t="shared" si="158"/>
        <v>480</v>
      </c>
      <c r="P754" s="13">
        <f>P755+P758</f>
        <v>0</v>
      </c>
      <c r="Q754" s="87">
        <f t="shared" si="152"/>
        <v>480</v>
      </c>
      <c r="R754" s="13">
        <f>R755+R758</f>
        <v>0</v>
      </c>
      <c r="S754" s="87">
        <f t="shared" si="147"/>
        <v>480</v>
      </c>
    </row>
    <row r="755" spans="1:19" ht="12.75" hidden="1">
      <c r="A755" s="62" t="str">
        <f aca="true" t="shared" si="162" ref="A755:A762">IF(ISERROR(MATCH(F755,Код_КВР,0)),"",INDIRECT(ADDRESS(MATCH(F755,Код_КВР,0)+1,2,,,"КВР")))</f>
        <v>Закупка товаров, работ и услуг для муниципальных нужд</v>
      </c>
      <c r="B755" s="115">
        <v>805</v>
      </c>
      <c r="C755" s="8" t="s">
        <v>203</v>
      </c>
      <c r="D755" s="8" t="s">
        <v>227</v>
      </c>
      <c r="E755" s="115" t="s">
        <v>582</v>
      </c>
      <c r="F755" s="115">
        <v>200</v>
      </c>
      <c r="G755" s="70">
        <f>G756</f>
        <v>0</v>
      </c>
      <c r="H755" s="70">
        <f>H756</f>
        <v>0</v>
      </c>
      <c r="I755" s="70">
        <f t="shared" si="154"/>
        <v>0</v>
      </c>
      <c r="J755" s="70">
        <f>J756</f>
        <v>0</v>
      </c>
      <c r="K755" s="87">
        <f t="shared" si="150"/>
        <v>0</v>
      </c>
      <c r="L755" s="13">
        <f>L756</f>
        <v>0</v>
      </c>
      <c r="M755" s="87">
        <f t="shared" si="157"/>
        <v>0</v>
      </c>
      <c r="N755" s="13">
        <f>N756</f>
        <v>0</v>
      </c>
      <c r="O755" s="87">
        <f t="shared" si="158"/>
        <v>0</v>
      </c>
      <c r="P755" s="13">
        <f>P756</f>
        <v>0</v>
      </c>
      <c r="Q755" s="87">
        <f t="shared" si="152"/>
        <v>0</v>
      </c>
      <c r="R755" s="13">
        <f>R756</f>
        <v>0</v>
      </c>
      <c r="S755" s="87">
        <f t="shared" si="147"/>
        <v>0</v>
      </c>
    </row>
    <row r="756" spans="1:19" ht="33" hidden="1">
      <c r="A756" s="62" t="str">
        <f ca="1" t="shared" si="162"/>
        <v>Иные закупки товаров, работ и услуг для обеспечения муниципальных нужд</v>
      </c>
      <c r="B756" s="115">
        <v>805</v>
      </c>
      <c r="C756" s="8" t="s">
        <v>203</v>
      </c>
      <c r="D756" s="8" t="s">
        <v>227</v>
      </c>
      <c r="E756" s="115" t="s">
        <v>582</v>
      </c>
      <c r="F756" s="115">
        <v>240</v>
      </c>
      <c r="G756" s="70">
        <f>G757</f>
        <v>0</v>
      </c>
      <c r="H756" s="70">
        <f>H757</f>
        <v>0</v>
      </c>
      <c r="I756" s="70">
        <f t="shared" si="154"/>
        <v>0</v>
      </c>
      <c r="J756" s="70">
        <f>J757</f>
        <v>0</v>
      </c>
      <c r="K756" s="87">
        <f t="shared" si="150"/>
        <v>0</v>
      </c>
      <c r="L756" s="13">
        <f>L757</f>
        <v>0</v>
      </c>
      <c r="M756" s="87">
        <f t="shared" si="157"/>
        <v>0</v>
      </c>
      <c r="N756" s="13">
        <f>N757</f>
        <v>0</v>
      </c>
      <c r="O756" s="87">
        <f t="shared" si="158"/>
        <v>0</v>
      </c>
      <c r="P756" s="13">
        <f>P757</f>
        <v>0</v>
      </c>
      <c r="Q756" s="87">
        <f t="shared" si="152"/>
        <v>0</v>
      </c>
      <c r="R756" s="13">
        <f>R757</f>
        <v>0</v>
      </c>
      <c r="S756" s="87">
        <f t="shared" si="147"/>
        <v>0</v>
      </c>
    </row>
    <row r="757" spans="1:19" ht="33" hidden="1">
      <c r="A757" s="62" t="str">
        <f ca="1" t="shared" si="162"/>
        <v xml:space="preserve">Прочая закупка товаров, работ и услуг для обеспечения муниципальных нужд         </v>
      </c>
      <c r="B757" s="115">
        <v>805</v>
      </c>
      <c r="C757" s="8" t="s">
        <v>203</v>
      </c>
      <c r="D757" s="8" t="s">
        <v>227</v>
      </c>
      <c r="E757" s="115" t="s">
        <v>582</v>
      </c>
      <c r="F757" s="115">
        <v>244</v>
      </c>
      <c r="G757" s="70"/>
      <c r="H757" s="70"/>
      <c r="I757" s="70">
        <f t="shared" si="154"/>
        <v>0</v>
      </c>
      <c r="J757" s="70"/>
      <c r="K757" s="87">
        <f t="shared" si="150"/>
        <v>0</v>
      </c>
      <c r="L757" s="13"/>
      <c r="M757" s="87">
        <f t="shared" si="157"/>
        <v>0</v>
      </c>
      <c r="N757" s="13"/>
      <c r="O757" s="87">
        <f t="shared" si="158"/>
        <v>0</v>
      </c>
      <c r="P757" s="13"/>
      <c r="Q757" s="87">
        <f t="shared" si="152"/>
        <v>0</v>
      </c>
      <c r="R757" s="13"/>
      <c r="S757" s="87">
        <f t="shared" si="147"/>
        <v>0</v>
      </c>
    </row>
    <row r="758" spans="1:19" ht="33">
      <c r="A758" s="62" t="str">
        <f ca="1" t="shared" si="162"/>
        <v>Предоставление субсидий бюджетным, автономным учреждениям и иным некоммерческим организациям</v>
      </c>
      <c r="B758" s="115">
        <v>805</v>
      </c>
      <c r="C758" s="8" t="s">
        <v>203</v>
      </c>
      <c r="D758" s="8" t="s">
        <v>227</v>
      </c>
      <c r="E758" s="115" t="s">
        <v>582</v>
      </c>
      <c r="F758" s="115">
        <v>600</v>
      </c>
      <c r="G758" s="70">
        <f>G759+G761</f>
        <v>480</v>
      </c>
      <c r="H758" s="70">
        <f>H759+H761</f>
        <v>0</v>
      </c>
      <c r="I758" s="70">
        <f t="shared" si="154"/>
        <v>480</v>
      </c>
      <c r="J758" s="70">
        <f>J759+J761</f>
        <v>0</v>
      </c>
      <c r="K758" s="87">
        <f t="shared" si="150"/>
        <v>480</v>
      </c>
      <c r="L758" s="13">
        <f>L759+L761</f>
        <v>0</v>
      </c>
      <c r="M758" s="87">
        <f t="shared" si="157"/>
        <v>480</v>
      </c>
      <c r="N758" s="13">
        <f>N759+N761</f>
        <v>0</v>
      </c>
      <c r="O758" s="87">
        <f t="shared" si="158"/>
        <v>480</v>
      </c>
      <c r="P758" s="13">
        <f>P759+P761</f>
        <v>0</v>
      </c>
      <c r="Q758" s="87">
        <f t="shared" si="152"/>
        <v>480</v>
      </c>
      <c r="R758" s="13">
        <f>R759+R761</f>
        <v>0</v>
      </c>
      <c r="S758" s="87">
        <f t="shared" si="147"/>
        <v>480</v>
      </c>
    </row>
    <row r="759" spans="1:19" ht="12.75">
      <c r="A759" s="62" t="str">
        <f ca="1" t="shared" si="162"/>
        <v>Субсидии бюджетным учреждениям</v>
      </c>
      <c r="B759" s="115">
        <v>805</v>
      </c>
      <c r="C759" s="8" t="s">
        <v>203</v>
      </c>
      <c r="D759" s="8" t="s">
        <v>227</v>
      </c>
      <c r="E759" s="115" t="s">
        <v>582</v>
      </c>
      <c r="F759" s="115">
        <v>610</v>
      </c>
      <c r="G759" s="70">
        <f>G760</f>
        <v>463.4</v>
      </c>
      <c r="H759" s="70">
        <f>H760</f>
        <v>0</v>
      </c>
      <c r="I759" s="70">
        <f t="shared" si="154"/>
        <v>463.4</v>
      </c>
      <c r="J759" s="70">
        <f>J760</f>
        <v>0</v>
      </c>
      <c r="K759" s="87">
        <f t="shared" si="150"/>
        <v>463.4</v>
      </c>
      <c r="L759" s="13">
        <f>L760</f>
        <v>0</v>
      </c>
      <c r="M759" s="87">
        <f t="shared" si="157"/>
        <v>463.4</v>
      </c>
      <c r="N759" s="13">
        <f>N760</f>
        <v>0</v>
      </c>
      <c r="O759" s="87">
        <f t="shared" si="158"/>
        <v>463.4</v>
      </c>
      <c r="P759" s="13">
        <f>P760</f>
        <v>0</v>
      </c>
      <c r="Q759" s="87">
        <f t="shared" si="152"/>
        <v>463.4</v>
      </c>
      <c r="R759" s="13">
        <f>R760</f>
        <v>0</v>
      </c>
      <c r="S759" s="87">
        <f aca="true" t="shared" si="163" ref="S759:S822">Q759+R759</f>
        <v>463.4</v>
      </c>
    </row>
    <row r="760" spans="1:19" ht="12.75">
      <c r="A760" s="62" t="str">
        <f ca="1" t="shared" si="162"/>
        <v>Субсидии бюджетным учреждениям на иные цели</v>
      </c>
      <c r="B760" s="115">
        <v>805</v>
      </c>
      <c r="C760" s="8" t="s">
        <v>203</v>
      </c>
      <c r="D760" s="8" t="s">
        <v>227</v>
      </c>
      <c r="E760" s="115" t="s">
        <v>582</v>
      </c>
      <c r="F760" s="115">
        <v>612</v>
      </c>
      <c r="G760" s="70">
        <v>463.4</v>
      </c>
      <c r="H760" s="65"/>
      <c r="I760" s="70">
        <f t="shared" si="154"/>
        <v>463.4</v>
      </c>
      <c r="J760" s="65"/>
      <c r="K760" s="87">
        <f t="shared" si="150"/>
        <v>463.4</v>
      </c>
      <c r="L760" s="87"/>
      <c r="M760" s="87">
        <f t="shared" si="157"/>
        <v>463.4</v>
      </c>
      <c r="N760" s="87"/>
      <c r="O760" s="87">
        <f t="shared" si="158"/>
        <v>463.4</v>
      </c>
      <c r="P760" s="87"/>
      <c r="Q760" s="87">
        <f t="shared" si="152"/>
        <v>463.4</v>
      </c>
      <c r="R760" s="87"/>
      <c r="S760" s="87">
        <f t="shared" si="163"/>
        <v>463.4</v>
      </c>
    </row>
    <row r="761" spans="1:19" ht="12.75">
      <c r="A761" s="62" t="str">
        <f ca="1" t="shared" si="162"/>
        <v>Субсидии автономным учреждениям</v>
      </c>
      <c r="B761" s="115">
        <v>805</v>
      </c>
      <c r="C761" s="8" t="s">
        <v>203</v>
      </c>
      <c r="D761" s="8" t="s">
        <v>227</v>
      </c>
      <c r="E761" s="115" t="s">
        <v>582</v>
      </c>
      <c r="F761" s="115">
        <v>620</v>
      </c>
      <c r="G761" s="70">
        <f>G762</f>
        <v>16.6</v>
      </c>
      <c r="H761" s="70">
        <f>H762</f>
        <v>0</v>
      </c>
      <c r="I761" s="70">
        <f t="shared" si="154"/>
        <v>16.6</v>
      </c>
      <c r="J761" s="70">
        <f>J762</f>
        <v>0</v>
      </c>
      <c r="K761" s="87">
        <f t="shared" si="150"/>
        <v>16.6</v>
      </c>
      <c r="L761" s="13">
        <f>L762</f>
        <v>0</v>
      </c>
      <c r="M761" s="87">
        <f t="shared" si="157"/>
        <v>16.6</v>
      </c>
      <c r="N761" s="13">
        <f>N762</f>
        <v>0</v>
      </c>
      <c r="O761" s="87">
        <f t="shared" si="158"/>
        <v>16.6</v>
      </c>
      <c r="P761" s="13">
        <f>P762</f>
        <v>0</v>
      </c>
      <c r="Q761" s="87">
        <f t="shared" si="152"/>
        <v>16.6</v>
      </c>
      <c r="R761" s="13">
        <f>R762</f>
        <v>0</v>
      </c>
      <c r="S761" s="87">
        <f t="shared" si="163"/>
        <v>16.6</v>
      </c>
    </row>
    <row r="762" spans="1:19" ht="12.75">
      <c r="A762" s="62" t="str">
        <f ca="1" t="shared" si="162"/>
        <v>Субсидии автономным учреждениям на иные цели</v>
      </c>
      <c r="B762" s="115">
        <v>805</v>
      </c>
      <c r="C762" s="8" t="s">
        <v>203</v>
      </c>
      <c r="D762" s="8" t="s">
        <v>227</v>
      </c>
      <c r="E762" s="115" t="s">
        <v>582</v>
      </c>
      <c r="F762" s="115">
        <v>622</v>
      </c>
      <c r="G762" s="70">
        <v>16.6</v>
      </c>
      <c r="H762" s="65"/>
      <c r="I762" s="70">
        <f t="shared" si="154"/>
        <v>16.6</v>
      </c>
      <c r="J762" s="65"/>
      <c r="K762" s="87">
        <f t="shared" si="150"/>
        <v>16.6</v>
      </c>
      <c r="L762" s="87"/>
      <c r="M762" s="87">
        <f t="shared" si="157"/>
        <v>16.6</v>
      </c>
      <c r="N762" s="87"/>
      <c r="O762" s="87">
        <f t="shared" si="158"/>
        <v>16.6</v>
      </c>
      <c r="P762" s="87"/>
      <c r="Q762" s="87">
        <f t="shared" si="152"/>
        <v>16.6</v>
      </c>
      <c r="R762" s="87"/>
      <c r="S762" s="87">
        <f t="shared" si="163"/>
        <v>16.6</v>
      </c>
    </row>
    <row r="763" spans="1:19" ht="12.75" hidden="1">
      <c r="A763" s="62" t="str">
        <f ca="1">IF(ISERROR(MATCH(E763,Код_КЦСР,0)),"",INDIRECT(ADDRESS(MATCH(E763,Код_КЦСР,0)+1,2,,,"КЦСР")))</f>
        <v>Пропаганда здорового образа жизни</v>
      </c>
      <c r="B763" s="115">
        <v>805</v>
      </c>
      <c r="C763" s="8" t="s">
        <v>203</v>
      </c>
      <c r="D763" s="8" t="s">
        <v>227</v>
      </c>
      <c r="E763" s="115" t="s">
        <v>584</v>
      </c>
      <c r="F763" s="115"/>
      <c r="G763" s="70">
        <f>G764</f>
        <v>0</v>
      </c>
      <c r="H763" s="65"/>
      <c r="I763" s="70">
        <f t="shared" si="154"/>
        <v>0</v>
      </c>
      <c r="J763" s="65"/>
      <c r="K763" s="87">
        <f t="shared" si="150"/>
        <v>0</v>
      </c>
      <c r="L763" s="87"/>
      <c r="M763" s="87">
        <f t="shared" si="157"/>
        <v>0</v>
      </c>
      <c r="N763" s="87"/>
      <c r="O763" s="87">
        <f t="shared" si="158"/>
        <v>0</v>
      </c>
      <c r="P763" s="87"/>
      <c r="Q763" s="87">
        <f t="shared" si="152"/>
        <v>0</v>
      </c>
      <c r="R763" s="87"/>
      <c r="S763" s="87">
        <f t="shared" si="163"/>
        <v>0</v>
      </c>
    </row>
    <row r="764" spans="1:19" ht="12.75" hidden="1">
      <c r="A764" s="62" t="str">
        <f ca="1">IF(ISERROR(MATCH(F764,Код_КВР,0)),"",INDIRECT(ADDRESS(MATCH(F764,Код_КВР,0)+1,2,,,"КВР")))</f>
        <v>Закупка товаров, работ и услуг для муниципальных нужд</v>
      </c>
      <c r="B764" s="115">
        <v>805</v>
      </c>
      <c r="C764" s="8" t="s">
        <v>203</v>
      </c>
      <c r="D764" s="8" t="s">
        <v>227</v>
      </c>
      <c r="E764" s="115" t="s">
        <v>584</v>
      </c>
      <c r="F764" s="115">
        <v>200</v>
      </c>
      <c r="G764" s="70">
        <f>G765</f>
        <v>0</v>
      </c>
      <c r="H764" s="65"/>
      <c r="I764" s="70">
        <f t="shared" si="154"/>
        <v>0</v>
      </c>
      <c r="J764" s="65"/>
      <c r="K764" s="87">
        <f t="shared" si="150"/>
        <v>0</v>
      </c>
      <c r="L764" s="87"/>
      <c r="M764" s="87">
        <f t="shared" si="157"/>
        <v>0</v>
      </c>
      <c r="N764" s="87"/>
      <c r="O764" s="87">
        <f t="shared" si="158"/>
        <v>0</v>
      </c>
      <c r="P764" s="87"/>
      <c r="Q764" s="87">
        <f t="shared" si="152"/>
        <v>0</v>
      </c>
      <c r="R764" s="87"/>
      <c r="S764" s="87">
        <f t="shared" si="163"/>
        <v>0</v>
      </c>
    </row>
    <row r="765" spans="1:19" ht="33" hidden="1">
      <c r="A765" s="62" t="str">
        <f ca="1">IF(ISERROR(MATCH(F765,Код_КВР,0)),"",INDIRECT(ADDRESS(MATCH(F765,Код_КВР,0)+1,2,,,"КВР")))</f>
        <v>Иные закупки товаров, работ и услуг для обеспечения муниципальных нужд</v>
      </c>
      <c r="B765" s="115">
        <v>805</v>
      </c>
      <c r="C765" s="8" t="s">
        <v>203</v>
      </c>
      <c r="D765" s="8" t="s">
        <v>227</v>
      </c>
      <c r="E765" s="115" t="s">
        <v>584</v>
      </c>
      <c r="F765" s="115">
        <v>240</v>
      </c>
      <c r="G765" s="70">
        <f>G766</f>
        <v>0</v>
      </c>
      <c r="H765" s="65"/>
      <c r="I765" s="70">
        <f t="shared" si="154"/>
        <v>0</v>
      </c>
      <c r="J765" s="65"/>
      <c r="K765" s="87">
        <f t="shared" si="150"/>
        <v>0</v>
      </c>
      <c r="L765" s="87"/>
      <c r="M765" s="87">
        <f t="shared" si="157"/>
        <v>0</v>
      </c>
      <c r="N765" s="87"/>
      <c r="O765" s="87">
        <f t="shared" si="158"/>
        <v>0</v>
      </c>
      <c r="P765" s="87"/>
      <c r="Q765" s="87">
        <f aca="true" t="shared" si="164" ref="Q765:Q828">O765+P765</f>
        <v>0</v>
      </c>
      <c r="R765" s="87"/>
      <c r="S765" s="87">
        <f t="shared" si="163"/>
        <v>0</v>
      </c>
    </row>
    <row r="766" spans="1:19" ht="33" hidden="1">
      <c r="A766" s="62" t="str">
        <f ca="1">IF(ISERROR(MATCH(F766,Код_КВР,0)),"",INDIRECT(ADDRESS(MATCH(F766,Код_КВР,0)+1,2,,,"КВР")))</f>
        <v xml:space="preserve">Прочая закупка товаров, работ и услуг для обеспечения муниципальных нужд         </v>
      </c>
      <c r="B766" s="115">
        <v>805</v>
      </c>
      <c r="C766" s="8" t="s">
        <v>203</v>
      </c>
      <c r="D766" s="8" t="s">
        <v>227</v>
      </c>
      <c r="E766" s="115" t="s">
        <v>584</v>
      </c>
      <c r="F766" s="115">
        <v>244</v>
      </c>
      <c r="G766" s="70"/>
      <c r="H766" s="65"/>
      <c r="I766" s="70">
        <f t="shared" si="154"/>
        <v>0</v>
      </c>
      <c r="J766" s="65"/>
      <c r="K766" s="87">
        <f t="shared" si="150"/>
        <v>0</v>
      </c>
      <c r="L766" s="87"/>
      <c r="M766" s="87">
        <f t="shared" si="157"/>
        <v>0</v>
      </c>
      <c r="N766" s="87"/>
      <c r="O766" s="87">
        <f t="shared" si="158"/>
        <v>0</v>
      </c>
      <c r="P766" s="87"/>
      <c r="Q766" s="87">
        <f t="shared" si="164"/>
        <v>0</v>
      </c>
      <c r="R766" s="87"/>
      <c r="S766" s="87">
        <f t="shared" si="163"/>
        <v>0</v>
      </c>
    </row>
    <row r="767" spans="1:19" ht="39.75" customHeight="1">
      <c r="A767" s="62" t="str">
        <f ca="1">IF(ISERROR(MATCH(E767,Код_КЦСР,0)),"",INDIRECT(ADDRESS(MATCH(E767,Код_КЦСР,0)+1,2,,,"КЦСР")))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67" s="115">
        <v>805</v>
      </c>
      <c r="C767" s="8" t="s">
        <v>203</v>
      </c>
      <c r="D767" s="8" t="s">
        <v>227</v>
      </c>
      <c r="E767" s="115" t="s">
        <v>81</v>
      </c>
      <c r="F767" s="115"/>
      <c r="G767" s="70">
        <f>G768</f>
        <v>3673.6</v>
      </c>
      <c r="H767" s="70">
        <f>H768</f>
        <v>0</v>
      </c>
      <c r="I767" s="70">
        <f t="shared" si="154"/>
        <v>3673.6</v>
      </c>
      <c r="J767" s="70">
        <f>J768</f>
        <v>0</v>
      </c>
      <c r="K767" s="87">
        <f aca="true" t="shared" si="165" ref="K767:K834">I767+J767</f>
        <v>3673.6</v>
      </c>
      <c r="L767" s="13">
        <f>L768</f>
        <v>0</v>
      </c>
      <c r="M767" s="87">
        <f t="shared" si="157"/>
        <v>3673.6</v>
      </c>
      <c r="N767" s="13">
        <f>N768</f>
        <v>0</v>
      </c>
      <c r="O767" s="87">
        <f t="shared" si="158"/>
        <v>3673.6</v>
      </c>
      <c r="P767" s="13">
        <f>P768</f>
        <v>0</v>
      </c>
      <c r="Q767" s="87">
        <f t="shared" si="164"/>
        <v>3673.6</v>
      </c>
      <c r="R767" s="13">
        <f>R768</f>
        <v>0</v>
      </c>
      <c r="S767" s="87">
        <f t="shared" si="163"/>
        <v>3673.6</v>
      </c>
    </row>
    <row r="768" spans="1:19" ht="18.75" customHeight="1">
      <c r="A768" s="62" t="str">
        <f ca="1">IF(ISERROR(MATCH(E768,Код_КЦСР,0)),"",INDIRECT(ADDRESS(MATCH(E768,Код_КЦСР,0)+1,2,,,"КЦСР")))</f>
        <v>Обеспечение пожарной безопасности муниципальных учреждений города</v>
      </c>
      <c r="B768" s="115">
        <v>805</v>
      </c>
      <c r="C768" s="8" t="s">
        <v>203</v>
      </c>
      <c r="D768" s="8" t="s">
        <v>227</v>
      </c>
      <c r="E768" s="115" t="s">
        <v>83</v>
      </c>
      <c r="F768" s="115"/>
      <c r="G768" s="70">
        <f>G769+G776</f>
        <v>3673.6</v>
      </c>
      <c r="H768" s="70">
        <f>H769+H776</f>
        <v>0</v>
      </c>
      <c r="I768" s="70">
        <f t="shared" si="154"/>
        <v>3673.6</v>
      </c>
      <c r="J768" s="70">
        <f>J769+J776</f>
        <v>0</v>
      </c>
      <c r="K768" s="87">
        <f t="shared" si="165"/>
        <v>3673.6</v>
      </c>
      <c r="L768" s="13">
        <f>L769+L776</f>
        <v>0</v>
      </c>
      <c r="M768" s="87">
        <f t="shared" si="157"/>
        <v>3673.6</v>
      </c>
      <c r="N768" s="13">
        <f>N769+N776</f>
        <v>0</v>
      </c>
      <c r="O768" s="87">
        <f t="shared" si="158"/>
        <v>3673.6</v>
      </c>
      <c r="P768" s="13">
        <f>P769+P776</f>
        <v>0</v>
      </c>
      <c r="Q768" s="87">
        <f t="shared" si="164"/>
        <v>3673.6</v>
      </c>
      <c r="R768" s="13">
        <f>R769+R776</f>
        <v>0</v>
      </c>
      <c r="S768" s="87">
        <f t="shared" si="163"/>
        <v>3673.6</v>
      </c>
    </row>
    <row r="769" spans="1:19" ht="49.5">
      <c r="A769" s="62" t="str">
        <f ca="1">IF(ISERROR(MATCH(E769,Код_КЦСР,0)),"",INDIRECT(ADDRESS(MATCH(E769,Код_КЦСР,0)+1,2,,,"КЦСР")))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69" s="115">
        <v>805</v>
      </c>
      <c r="C769" s="8" t="s">
        <v>203</v>
      </c>
      <c r="D769" s="8" t="s">
        <v>227</v>
      </c>
      <c r="E769" s="115" t="s">
        <v>85</v>
      </c>
      <c r="F769" s="115"/>
      <c r="G769" s="70">
        <f>G770+G773</f>
        <v>481</v>
      </c>
      <c r="H769" s="70">
        <f>H770+H773</f>
        <v>0</v>
      </c>
      <c r="I769" s="70">
        <f t="shared" si="154"/>
        <v>481</v>
      </c>
      <c r="J769" s="70">
        <f>J770+J773</f>
        <v>0</v>
      </c>
      <c r="K769" s="87">
        <f t="shared" si="165"/>
        <v>481</v>
      </c>
      <c r="L769" s="13">
        <f>L770+L773</f>
        <v>0</v>
      </c>
      <c r="M769" s="87">
        <f t="shared" si="157"/>
        <v>481</v>
      </c>
      <c r="N769" s="13">
        <f>N770+N773</f>
        <v>0</v>
      </c>
      <c r="O769" s="87">
        <f t="shared" si="158"/>
        <v>481</v>
      </c>
      <c r="P769" s="13">
        <f>P770+P773</f>
        <v>0</v>
      </c>
      <c r="Q769" s="87">
        <f t="shared" si="164"/>
        <v>481</v>
      </c>
      <c r="R769" s="13">
        <f>R770+R773</f>
        <v>0</v>
      </c>
      <c r="S769" s="87">
        <f t="shared" si="163"/>
        <v>481</v>
      </c>
    </row>
    <row r="770" spans="1:19" ht="12.75" hidden="1">
      <c r="A770" s="62" t="str">
        <f aca="true" t="shared" si="166" ref="A770:A775">IF(ISERROR(MATCH(F770,Код_КВР,0)),"",INDIRECT(ADDRESS(MATCH(F770,Код_КВР,0)+1,2,,,"КВР")))</f>
        <v>Закупка товаров, работ и услуг для муниципальных нужд</v>
      </c>
      <c r="B770" s="115">
        <v>805</v>
      </c>
      <c r="C770" s="8" t="s">
        <v>203</v>
      </c>
      <c r="D770" s="8" t="s">
        <v>227</v>
      </c>
      <c r="E770" s="115" t="s">
        <v>85</v>
      </c>
      <c r="F770" s="115">
        <v>200</v>
      </c>
      <c r="G770" s="70">
        <f>G771</f>
        <v>0</v>
      </c>
      <c r="H770" s="70">
        <f>H771</f>
        <v>0</v>
      </c>
      <c r="I770" s="70">
        <f t="shared" si="154"/>
        <v>0</v>
      </c>
      <c r="J770" s="70">
        <f>J771</f>
        <v>0</v>
      </c>
      <c r="K770" s="87">
        <f t="shared" si="165"/>
        <v>0</v>
      </c>
      <c r="L770" s="13">
        <f>L771</f>
        <v>0</v>
      </c>
      <c r="M770" s="87">
        <f t="shared" si="157"/>
        <v>0</v>
      </c>
      <c r="N770" s="13">
        <f>N771</f>
        <v>0</v>
      </c>
      <c r="O770" s="87">
        <f t="shared" si="158"/>
        <v>0</v>
      </c>
      <c r="P770" s="13">
        <f>P771</f>
        <v>0</v>
      </c>
      <c r="Q770" s="87">
        <f t="shared" si="164"/>
        <v>0</v>
      </c>
      <c r="R770" s="13">
        <f>R771</f>
        <v>0</v>
      </c>
      <c r="S770" s="87">
        <f t="shared" si="163"/>
        <v>0</v>
      </c>
    </row>
    <row r="771" spans="1:19" ht="33" hidden="1">
      <c r="A771" s="62" t="str">
        <f ca="1" t="shared" si="166"/>
        <v>Иные закупки товаров, работ и услуг для обеспечения муниципальных нужд</v>
      </c>
      <c r="B771" s="115">
        <v>805</v>
      </c>
      <c r="C771" s="8" t="s">
        <v>203</v>
      </c>
      <c r="D771" s="8" t="s">
        <v>227</v>
      </c>
      <c r="E771" s="115" t="s">
        <v>85</v>
      </c>
      <c r="F771" s="115">
        <v>240</v>
      </c>
      <c r="G771" s="70">
        <f>G772</f>
        <v>0</v>
      </c>
      <c r="H771" s="70">
        <f>H772</f>
        <v>0</v>
      </c>
      <c r="I771" s="70">
        <f t="shared" si="154"/>
        <v>0</v>
      </c>
      <c r="J771" s="70">
        <f>J772</f>
        <v>0</v>
      </c>
      <c r="K771" s="87">
        <f t="shared" si="165"/>
        <v>0</v>
      </c>
      <c r="L771" s="13">
        <f>L772</f>
        <v>0</v>
      </c>
      <c r="M771" s="87">
        <f t="shared" si="157"/>
        <v>0</v>
      </c>
      <c r="N771" s="13">
        <f>N772</f>
        <v>0</v>
      </c>
      <c r="O771" s="87">
        <f t="shared" si="158"/>
        <v>0</v>
      </c>
      <c r="P771" s="13">
        <f>P772</f>
        <v>0</v>
      </c>
      <c r="Q771" s="87">
        <f t="shared" si="164"/>
        <v>0</v>
      </c>
      <c r="R771" s="13">
        <f>R772</f>
        <v>0</v>
      </c>
      <c r="S771" s="87">
        <f t="shared" si="163"/>
        <v>0</v>
      </c>
    </row>
    <row r="772" spans="1:19" ht="33" hidden="1">
      <c r="A772" s="62" t="str">
        <f ca="1" t="shared" si="166"/>
        <v xml:space="preserve">Прочая закупка товаров, работ и услуг для обеспечения муниципальных нужд         </v>
      </c>
      <c r="B772" s="115">
        <v>805</v>
      </c>
      <c r="C772" s="8" t="s">
        <v>203</v>
      </c>
      <c r="D772" s="8" t="s">
        <v>227</v>
      </c>
      <c r="E772" s="115" t="s">
        <v>85</v>
      </c>
      <c r="F772" s="115">
        <v>244</v>
      </c>
      <c r="G772" s="70"/>
      <c r="H772" s="70"/>
      <c r="I772" s="70">
        <f t="shared" si="154"/>
        <v>0</v>
      </c>
      <c r="J772" s="70"/>
      <c r="K772" s="87">
        <f t="shared" si="165"/>
        <v>0</v>
      </c>
      <c r="L772" s="13"/>
      <c r="M772" s="87">
        <f t="shared" si="157"/>
        <v>0</v>
      </c>
      <c r="N772" s="13"/>
      <c r="O772" s="87">
        <f t="shared" si="158"/>
        <v>0</v>
      </c>
      <c r="P772" s="13"/>
      <c r="Q772" s="87">
        <f t="shared" si="164"/>
        <v>0</v>
      </c>
      <c r="R772" s="13"/>
      <c r="S772" s="87">
        <f t="shared" si="163"/>
        <v>0</v>
      </c>
    </row>
    <row r="773" spans="1:19" ht="33">
      <c r="A773" s="62" t="str">
        <f ca="1" t="shared" si="166"/>
        <v>Предоставление субсидий бюджетным, автономным учреждениям и иным некоммерческим организациям</v>
      </c>
      <c r="B773" s="115">
        <v>805</v>
      </c>
      <c r="C773" s="8" t="s">
        <v>203</v>
      </c>
      <c r="D773" s="8" t="s">
        <v>227</v>
      </c>
      <c r="E773" s="115" t="s">
        <v>85</v>
      </c>
      <c r="F773" s="115">
        <v>600</v>
      </c>
      <c r="G773" s="70">
        <f>G774</f>
        <v>481</v>
      </c>
      <c r="H773" s="70">
        <f>H774</f>
        <v>0</v>
      </c>
      <c r="I773" s="70">
        <f t="shared" si="154"/>
        <v>481</v>
      </c>
      <c r="J773" s="70">
        <f>J774</f>
        <v>0</v>
      </c>
      <c r="K773" s="87">
        <f t="shared" si="165"/>
        <v>481</v>
      </c>
      <c r="L773" s="13">
        <f>L774</f>
        <v>0</v>
      </c>
      <c r="M773" s="87">
        <f t="shared" si="157"/>
        <v>481</v>
      </c>
      <c r="N773" s="13">
        <f>N774</f>
        <v>0</v>
      </c>
      <c r="O773" s="87">
        <f t="shared" si="158"/>
        <v>481</v>
      </c>
      <c r="P773" s="13">
        <f>P774</f>
        <v>0</v>
      </c>
      <c r="Q773" s="87">
        <f t="shared" si="164"/>
        <v>481</v>
      </c>
      <c r="R773" s="13">
        <f>R774</f>
        <v>0</v>
      </c>
      <c r="S773" s="87">
        <f t="shared" si="163"/>
        <v>481</v>
      </c>
    </row>
    <row r="774" spans="1:19" ht="12.75">
      <c r="A774" s="62" t="str">
        <f ca="1" t="shared" si="166"/>
        <v>Субсидии бюджетным учреждениям</v>
      </c>
      <c r="B774" s="115">
        <v>805</v>
      </c>
      <c r="C774" s="8" t="s">
        <v>203</v>
      </c>
      <c r="D774" s="8" t="s">
        <v>227</v>
      </c>
      <c r="E774" s="115" t="s">
        <v>85</v>
      </c>
      <c r="F774" s="115">
        <v>610</v>
      </c>
      <c r="G774" s="70">
        <f>G775</f>
        <v>481</v>
      </c>
      <c r="H774" s="70">
        <f>H775</f>
        <v>0</v>
      </c>
      <c r="I774" s="70">
        <f t="shared" si="154"/>
        <v>481</v>
      </c>
      <c r="J774" s="70">
        <f>J775</f>
        <v>0</v>
      </c>
      <c r="K774" s="87">
        <f t="shared" si="165"/>
        <v>481</v>
      </c>
      <c r="L774" s="13">
        <f>L775</f>
        <v>0</v>
      </c>
      <c r="M774" s="87">
        <f t="shared" si="157"/>
        <v>481</v>
      </c>
      <c r="N774" s="13">
        <f>N775</f>
        <v>0</v>
      </c>
      <c r="O774" s="87">
        <f t="shared" si="158"/>
        <v>481</v>
      </c>
      <c r="P774" s="13">
        <f>P775</f>
        <v>0</v>
      </c>
      <c r="Q774" s="87">
        <f t="shared" si="164"/>
        <v>481</v>
      </c>
      <c r="R774" s="13">
        <f>R775</f>
        <v>0</v>
      </c>
      <c r="S774" s="87">
        <f t="shared" si="163"/>
        <v>481</v>
      </c>
    </row>
    <row r="775" spans="1:19" ht="12.75">
      <c r="A775" s="62" t="str">
        <f ca="1" t="shared" si="166"/>
        <v>Субсидии бюджетным учреждениям на иные цели</v>
      </c>
      <c r="B775" s="115">
        <v>805</v>
      </c>
      <c r="C775" s="8" t="s">
        <v>203</v>
      </c>
      <c r="D775" s="8" t="s">
        <v>227</v>
      </c>
      <c r="E775" s="115" t="s">
        <v>85</v>
      </c>
      <c r="F775" s="115">
        <v>612</v>
      </c>
      <c r="G775" s="70">
        <v>481</v>
      </c>
      <c r="H775" s="65"/>
      <c r="I775" s="70">
        <f t="shared" si="154"/>
        <v>481</v>
      </c>
      <c r="J775" s="65"/>
      <c r="K775" s="87">
        <f t="shared" si="165"/>
        <v>481</v>
      </c>
      <c r="L775" s="87"/>
      <c r="M775" s="87">
        <f t="shared" si="157"/>
        <v>481</v>
      </c>
      <c r="N775" s="87"/>
      <c r="O775" s="87">
        <f t="shared" si="158"/>
        <v>481</v>
      </c>
      <c r="P775" s="87"/>
      <c r="Q775" s="87">
        <f t="shared" si="164"/>
        <v>481</v>
      </c>
      <c r="R775" s="87"/>
      <c r="S775" s="87">
        <f t="shared" si="163"/>
        <v>481</v>
      </c>
    </row>
    <row r="776" spans="1:19" ht="12.75">
      <c r="A776" s="62" t="str">
        <f ca="1">IF(ISERROR(MATCH(E776,Код_КЦСР,0)),"",INDIRECT(ADDRESS(MATCH(E776,Код_КЦСР,0)+1,2,,,"КЦСР")))</f>
        <v>Ремонт и оборудование эвакуационных путей  зданий</v>
      </c>
      <c r="B776" s="115">
        <v>805</v>
      </c>
      <c r="C776" s="8" t="s">
        <v>203</v>
      </c>
      <c r="D776" s="8" t="s">
        <v>227</v>
      </c>
      <c r="E776" s="115" t="s">
        <v>89</v>
      </c>
      <c r="F776" s="115"/>
      <c r="G776" s="70">
        <f>G777</f>
        <v>3192.6</v>
      </c>
      <c r="H776" s="65"/>
      <c r="I776" s="70">
        <f t="shared" si="154"/>
        <v>3192.6</v>
      </c>
      <c r="J776" s="65"/>
      <c r="K776" s="87">
        <f t="shared" si="165"/>
        <v>3192.6</v>
      </c>
      <c r="L776" s="87"/>
      <c r="M776" s="87">
        <f t="shared" si="157"/>
        <v>3192.6</v>
      </c>
      <c r="N776" s="87"/>
      <c r="O776" s="87">
        <f t="shared" si="158"/>
        <v>3192.6</v>
      </c>
      <c r="P776" s="87"/>
      <c r="Q776" s="87">
        <f t="shared" si="164"/>
        <v>3192.6</v>
      </c>
      <c r="R776" s="87"/>
      <c r="S776" s="87">
        <f t="shared" si="163"/>
        <v>3192.6</v>
      </c>
    </row>
    <row r="777" spans="1:19" ht="33">
      <c r="A777" s="62" t="str">
        <f ca="1">IF(ISERROR(MATCH(F777,Код_КВР,0)),"",INDIRECT(ADDRESS(MATCH(F777,Код_КВР,0)+1,2,,,"КВР")))</f>
        <v>Предоставление субсидий бюджетным, автономным учреждениям и иным некоммерческим организациям</v>
      </c>
      <c r="B777" s="115">
        <v>805</v>
      </c>
      <c r="C777" s="8" t="s">
        <v>203</v>
      </c>
      <c r="D777" s="8" t="s">
        <v>227</v>
      </c>
      <c r="E777" s="115" t="s">
        <v>89</v>
      </c>
      <c r="F777" s="115">
        <v>600</v>
      </c>
      <c r="G777" s="70">
        <f>G778</f>
        <v>3192.6</v>
      </c>
      <c r="H777" s="70">
        <f>H778</f>
        <v>0</v>
      </c>
      <c r="I777" s="70">
        <f t="shared" si="154"/>
        <v>3192.6</v>
      </c>
      <c r="J777" s="70">
        <f>J778</f>
        <v>0</v>
      </c>
      <c r="K777" s="87">
        <f t="shared" si="165"/>
        <v>3192.6</v>
      </c>
      <c r="L777" s="13">
        <f>L778</f>
        <v>0</v>
      </c>
      <c r="M777" s="87">
        <f t="shared" si="157"/>
        <v>3192.6</v>
      </c>
      <c r="N777" s="13">
        <f>N778</f>
        <v>0</v>
      </c>
      <c r="O777" s="87">
        <f t="shared" si="158"/>
        <v>3192.6</v>
      </c>
      <c r="P777" s="13">
        <f>P778</f>
        <v>0</v>
      </c>
      <c r="Q777" s="87">
        <f t="shared" si="164"/>
        <v>3192.6</v>
      </c>
      <c r="R777" s="13">
        <f>R778</f>
        <v>0</v>
      </c>
      <c r="S777" s="87">
        <f t="shared" si="163"/>
        <v>3192.6</v>
      </c>
    </row>
    <row r="778" spans="1:19" ht="12.75">
      <c r="A778" s="62" t="str">
        <f ca="1">IF(ISERROR(MATCH(F778,Код_КВР,0)),"",INDIRECT(ADDRESS(MATCH(F778,Код_КВР,0)+1,2,,,"КВР")))</f>
        <v>Субсидии бюджетным учреждениям</v>
      </c>
      <c r="B778" s="115">
        <v>805</v>
      </c>
      <c r="C778" s="8" t="s">
        <v>203</v>
      </c>
      <c r="D778" s="8" t="s">
        <v>227</v>
      </c>
      <c r="E778" s="115" t="s">
        <v>89</v>
      </c>
      <c r="F778" s="115">
        <v>610</v>
      </c>
      <c r="G778" s="70">
        <f>G779</f>
        <v>3192.6</v>
      </c>
      <c r="H778" s="70">
        <f>H779</f>
        <v>0</v>
      </c>
      <c r="I778" s="70">
        <f t="shared" si="154"/>
        <v>3192.6</v>
      </c>
      <c r="J778" s="70">
        <f>J779</f>
        <v>0</v>
      </c>
      <c r="K778" s="87">
        <f t="shared" si="165"/>
        <v>3192.6</v>
      </c>
      <c r="L778" s="13">
        <f>L779</f>
        <v>0</v>
      </c>
      <c r="M778" s="87">
        <f t="shared" si="157"/>
        <v>3192.6</v>
      </c>
      <c r="N778" s="13">
        <f>N779</f>
        <v>0</v>
      </c>
      <c r="O778" s="87">
        <f t="shared" si="158"/>
        <v>3192.6</v>
      </c>
      <c r="P778" s="13">
        <f>P779</f>
        <v>0</v>
      </c>
      <c r="Q778" s="87">
        <f t="shared" si="164"/>
        <v>3192.6</v>
      </c>
      <c r="R778" s="13">
        <f>R779</f>
        <v>0</v>
      </c>
      <c r="S778" s="87">
        <f t="shared" si="163"/>
        <v>3192.6</v>
      </c>
    </row>
    <row r="779" spans="1:19" ht="12.75">
      <c r="A779" s="62" t="str">
        <f ca="1">IF(ISERROR(MATCH(F779,Код_КВР,0)),"",INDIRECT(ADDRESS(MATCH(F779,Код_КВР,0)+1,2,,,"КВР")))</f>
        <v>Субсидии бюджетным учреждениям на иные цели</v>
      </c>
      <c r="B779" s="115">
        <v>805</v>
      </c>
      <c r="C779" s="8" t="s">
        <v>203</v>
      </c>
      <c r="D779" s="8" t="s">
        <v>227</v>
      </c>
      <c r="E779" s="115" t="s">
        <v>89</v>
      </c>
      <c r="F779" s="115">
        <v>612</v>
      </c>
      <c r="G779" s="70">
        <v>3192.6</v>
      </c>
      <c r="H779" s="65"/>
      <c r="I779" s="70">
        <f t="shared" si="154"/>
        <v>3192.6</v>
      </c>
      <c r="J779" s="65"/>
      <c r="K779" s="87">
        <f t="shared" si="165"/>
        <v>3192.6</v>
      </c>
      <c r="L779" s="87"/>
      <c r="M779" s="87">
        <f t="shared" si="157"/>
        <v>3192.6</v>
      </c>
      <c r="N779" s="87"/>
      <c r="O779" s="87">
        <f t="shared" si="158"/>
        <v>3192.6</v>
      </c>
      <c r="P779" s="87"/>
      <c r="Q779" s="87">
        <f t="shared" si="164"/>
        <v>3192.6</v>
      </c>
      <c r="R779" s="87"/>
      <c r="S779" s="87">
        <f t="shared" si="163"/>
        <v>3192.6</v>
      </c>
    </row>
    <row r="780" spans="1:19" ht="33">
      <c r="A780" s="62" t="str">
        <f ca="1">IF(ISERROR(MATCH(E780,Код_КЦСР,0)),"",INDIRECT(ADDRESS(MATCH(E780,Код_КЦСР,0)+1,2,,,"КЦСР")))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780" s="115">
        <v>805</v>
      </c>
      <c r="C780" s="8" t="s">
        <v>203</v>
      </c>
      <c r="D780" s="8" t="s">
        <v>227</v>
      </c>
      <c r="E780" s="115" t="s">
        <v>158</v>
      </c>
      <c r="F780" s="115"/>
      <c r="G780" s="70">
        <f aca="true" t="shared" si="167" ref="G780:R784">G781</f>
        <v>30</v>
      </c>
      <c r="H780" s="70">
        <f t="shared" si="167"/>
        <v>0</v>
      </c>
      <c r="I780" s="70">
        <f t="shared" si="154"/>
        <v>30</v>
      </c>
      <c r="J780" s="70">
        <f t="shared" si="167"/>
        <v>0</v>
      </c>
      <c r="K780" s="87">
        <f t="shared" si="165"/>
        <v>30</v>
      </c>
      <c r="L780" s="13">
        <f t="shared" si="167"/>
        <v>0</v>
      </c>
      <c r="M780" s="87">
        <f t="shared" si="157"/>
        <v>30</v>
      </c>
      <c r="N780" s="13">
        <f t="shared" si="167"/>
        <v>0</v>
      </c>
      <c r="O780" s="87">
        <f t="shared" si="158"/>
        <v>30</v>
      </c>
      <c r="P780" s="13">
        <f t="shared" si="167"/>
        <v>0</v>
      </c>
      <c r="Q780" s="87">
        <f t="shared" si="164"/>
        <v>30</v>
      </c>
      <c r="R780" s="13">
        <f t="shared" si="167"/>
        <v>0</v>
      </c>
      <c r="S780" s="87">
        <f t="shared" si="163"/>
        <v>30</v>
      </c>
    </row>
    <row r="781" spans="1:19" ht="12.75">
      <c r="A781" s="62" t="str">
        <f ca="1">IF(ISERROR(MATCH(E781,Код_КЦСР,0)),"",INDIRECT(ADDRESS(MATCH(E781,Код_КЦСР,0)+1,2,,,"КЦСР")))</f>
        <v>Повышение безопасности дорожного движения в городе Череповце</v>
      </c>
      <c r="B781" s="115">
        <v>805</v>
      </c>
      <c r="C781" s="8" t="s">
        <v>203</v>
      </c>
      <c r="D781" s="8" t="s">
        <v>227</v>
      </c>
      <c r="E781" s="115" t="s">
        <v>164</v>
      </c>
      <c r="F781" s="115"/>
      <c r="G781" s="70">
        <f t="shared" si="167"/>
        <v>30</v>
      </c>
      <c r="H781" s="70">
        <f t="shared" si="167"/>
        <v>0</v>
      </c>
      <c r="I781" s="70">
        <f t="shared" si="154"/>
        <v>30</v>
      </c>
      <c r="J781" s="70">
        <f t="shared" si="167"/>
        <v>0</v>
      </c>
      <c r="K781" s="87">
        <f t="shared" si="165"/>
        <v>30</v>
      </c>
      <c r="L781" s="13">
        <f t="shared" si="167"/>
        <v>0</v>
      </c>
      <c r="M781" s="87">
        <f t="shared" si="157"/>
        <v>30</v>
      </c>
      <c r="N781" s="13">
        <f t="shared" si="167"/>
        <v>0</v>
      </c>
      <c r="O781" s="87">
        <f t="shared" si="158"/>
        <v>30</v>
      </c>
      <c r="P781" s="13">
        <f t="shared" si="167"/>
        <v>0</v>
      </c>
      <c r="Q781" s="87">
        <f t="shared" si="164"/>
        <v>30</v>
      </c>
      <c r="R781" s="13">
        <f t="shared" si="167"/>
        <v>0</v>
      </c>
      <c r="S781" s="87">
        <f t="shared" si="163"/>
        <v>30</v>
      </c>
    </row>
    <row r="782" spans="1:19" ht="49.5">
      <c r="A782" s="62" t="str">
        <f ca="1">IF(ISERROR(MATCH(E782,Код_КЦСР,0)),"",INDIRECT(ADDRESS(MATCH(E782,Код_КЦСР,0)+1,2,,,"КЦСР")))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782" s="115">
        <v>805</v>
      </c>
      <c r="C782" s="8" t="s">
        <v>203</v>
      </c>
      <c r="D782" s="8" t="s">
        <v>227</v>
      </c>
      <c r="E782" s="115" t="s">
        <v>166</v>
      </c>
      <c r="F782" s="115"/>
      <c r="G782" s="70">
        <f t="shared" si="167"/>
        <v>30</v>
      </c>
      <c r="H782" s="70">
        <f t="shared" si="167"/>
        <v>0</v>
      </c>
      <c r="I782" s="70">
        <f aca="true" t="shared" si="168" ref="I782:I849">G782+H782</f>
        <v>30</v>
      </c>
      <c r="J782" s="70">
        <f t="shared" si="167"/>
        <v>0</v>
      </c>
      <c r="K782" s="87">
        <f t="shared" si="165"/>
        <v>30</v>
      </c>
      <c r="L782" s="13">
        <f t="shared" si="167"/>
        <v>0</v>
      </c>
      <c r="M782" s="87">
        <f t="shared" si="157"/>
        <v>30</v>
      </c>
      <c r="N782" s="13">
        <f t="shared" si="167"/>
        <v>0</v>
      </c>
      <c r="O782" s="87">
        <f t="shared" si="158"/>
        <v>30</v>
      </c>
      <c r="P782" s="13">
        <f t="shared" si="167"/>
        <v>0</v>
      </c>
      <c r="Q782" s="87">
        <f t="shared" si="164"/>
        <v>30</v>
      </c>
      <c r="R782" s="13">
        <f t="shared" si="167"/>
        <v>0</v>
      </c>
      <c r="S782" s="87">
        <f t="shared" si="163"/>
        <v>30</v>
      </c>
    </row>
    <row r="783" spans="1:19" ht="33">
      <c r="A783" s="62" t="str">
        <f ca="1">IF(ISERROR(MATCH(F783,Код_КВР,0)),"",INDIRECT(ADDRESS(MATCH(F783,Код_КВР,0)+1,2,,,"КВР")))</f>
        <v>Предоставление субсидий бюджетным, автономным учреждениям и иным некоммерческим организациям</v>
      </c>
      <c r="B783" s="115">
        <v>805</v>
      </c>
      <c r="C783" s="8" t="s">
        <v>203</v>
      </c>
      <c r="D783" s="8" t="s">
        <v>227</v>
      </c>
      <c r="E783" s="115" t="s">
        <v>166</v>
      </c>
      <c r="F783" s="115">
        <v>600</v>
      </c>
      <c r="G783" s="70">
        <f t="shared" si="167"/>
        <v>30</v>
      </c>
      <c r="H783" s="70">
        <f t="shared" si="167"/>
        <v>0</v>
      </c>
      <c r="I783" s="70">
        <f t="shared" si="168"/>
        <v>30</v>
      </c>
      <c r="J783" s="70">
        <f t="shared" si="167"/>
        <v>0</v>
      </c>
      <c r="K783" s="87">
        <f t="shared" si="165"/>
        <v>30</v>
      </c>
      <c r="L783" s="13">
        <f t="shared" si="167"/>
        <v>0</v>
      </c>
      <c r="M783" s="87">
        <f t="shared" si="157"/>
        <v>30</v>
      </c>
      <c r="N783" s="13">
        <f t="shared" si="167"/>
        <v>0</v>
      </c>
      <c r="O783" s="87">
        <f t="shared" si="158"/>
        <v>30</v>
      </c>
      <c r="P783" s="13">
        <f t="shared" si="167"/>
        <v>0</v>
      </c>
      <c r="Q783" s="87">
        <f t="shared" si="164"/>
        <v>30</v>
      </c>
      <c r="R783" s="13">
        <f t="shared" si="167"/>
        <v>0</v>
      </c>
      <c r="S783" s="87">
        <f t="shared" si="163"/>
        <v>30</v>
      </c>
    </row>
    <row r="784" spans="1:19" ht="12.75">
      <c r="A784" s="62" t="str">
        <f ca="1">IF(ISERROR(MATCH(F784,Код_КВР,0)),"",INDIRECT(ADDRESS(MATCH(F784,Код_КВР,0)+1,2,,,"КВР")))</f>
        <v>Субсидии бюджетным учреждениям</v>
      </c>
      <c r="B784" s="115">
        <v>805</v>
      </c>
      <c r="C784" s="8" t="s">
        <v>203</v>
      </c>
      <c r="D784" s="8" t="s">
        <v>227</v>
      </c>
      <c r="E784" s="115" t="s">
        <v>166</v>
      </c>
      <c r="F784" s="115">
        <v>610</v>
      </c>
      <c r="G784" s="70">
        <f t="shared" si="167"/>
        <v>30</v>
      </c>
      <c r="H784" s="70">
        <f t="shared" si="167"/>
        <v>0</v>
      </c>
      <c r="I784" s="70">
        <f t="shared" si="168"/>
        <v>30</v>
      </c>
      <c r="J784" s="70">
        <f t="shared" si="167"/>
        <v>0</v>
      </c>
      <c r="K784" s="87">
        <f t="shared" si="165"/>
        <v>30</v>
      </c>
      <c r="L784" s="13">
        <f t="shared" si="167"/>
        <v>0</v>
      </c>
      <c r="M784" s="87">
        <f t="shared" si="157"/>
        <v>30</v>
      </c>
      <c r="N784" s="13">
        <f t="shared" si="167"/>
        <v>0</v>
      </c>
      <c r="O784" s="87">
        <f t="shared" si="158"/>
        <v>30</v>
      </c>
      <c r="P784" s="13">
        <f t="shared" si="167"/>
        <v>0</v>
      </c>
      <c r="Q784" s="87">
        <f t="shared" si="164"/>
        <v>30</v>
      </c>
      <c r="R784" s="13">
        <f t="shared" si="167"/>
        <v>0</v>
      </c>
      <c r="S784" s="87">
        <f t="shared" si="163"/>
        <v>30</v>
      </c>
    </row>
    <row r="785" spans="1:19" ht="12.75">
      <c r="A785" s="62" t="str">
        <f ca="1">IF(ISERROR(MATCH(F785,Код_КВР,0)),"",INDIRECT(ADDRESS(MATCH(F785,Код_КВР,0)+1,2,,,"КВР")))</f>
        <v>Субсидии бюджетным учреждениям на иные цели</v>
      </c>
      <c r="B785" s="115">
        <v>805</v>
      </c>
      <c r="C785" s="8" t="s">
        <v>203</v>
      </c>
      <c r="D785" s="8" t="s">
        <v>227</v>
      </c>
      <c r="E785" s="115" t="s">
        <v>166</v>
      </c>
      <c r="F785" s="115">
        <v>612</v>
      </c>
      <c r="G785" s="70">
        <v>30</v>
      </c>
      <c r="H785" s="65"/>
      <c r="I785" s="70">
        <f t="shared" si="168"/>
        <v>30</v>
      </c>
      <c r="J785" s="65"/>
      <c r="K785" s="87">
        <f t="shared" si="165"/>
        <v>30</v>
      </c>
      <c r="L785" s="87"/>
      <c r="M785" s="87">
        <f t="shared" si="157"/>
        <v>30</v>
      </c>
      <c r="N785" s="87"/>
      <c r="O785" s="87">
        <f t="shared" si="158"/>
        <v>30</v>
      </c>
      <c r="P785" s="87"/>
      <c r="Q785" s="87">
        <f t="shared" si="164"/>
        <v>30</v>
      </c>
      <c r="R785" s="87"/>
      <c r="S785" s="87">
        <f t="shared" si="163"/>
        <v>30</v>
      </c>
    </row>
    <row r="786" spans="1:19" ht="33">
      <c r="A786" s="62" t="str">
        <f ca="1">IF(ISERROR(MATCH(E786,Код_КЦСР,0)),"",INDIRECT(ADDRESS(MATCH(E786,Код_КЦСР,0)+1,2,,,"КЦСР")))</f>
        <v>Непрограммные направления деятельности органов местного самоуправления</v>
      </c>
      <c r="B786" s="115">
        <v>805</v>
      </c>
      <c r="C786" s="8" t="s">
        <v>203</v>
      </c>
      <c r="D786" s="8" t="s">
        <v>227</v>
      </c>
      <c r="E786" s="115" t="s">
        <v>307</v>
      </c>
      <c r="F786" s="115"/>
      <c r="G786" s="70">
        <f>G787</f>
        <v>27790.399999999998</v>
      </c>
      <c r="H786" s="70">
        <f>H787</f>
        <v>0</v>
      </c>
      <c r="I786" s="70">
        <f t="shared" si="168"/>
        <v>27790.399999999998</v>
      </c>
      <c r="J786" s="70">
        <f>J787</f>
        <v>1458.3</v>
      </c>
      <c r="K786" s="87">
        <f t="shared" si="165"/>
        <v>29248.699999999997</v>
      </c>
      <c r="L786" s="13">
        <f>L787</f>
        <v>0</v>
      </c>
      <c r="M786" s="87">
        <f t="shared" si="157"/>
        <v>29248.699999999997</v>
      </c>
      <c r="N786" s="13">
        <f>N787</f>
        <v>0</v>
      </c>
      <c r="O786" s="87">
        <f t="shared" si="158"/>
        <v>29248.699999999997</v>
      </c>
      <c r="P786" s="13">
        <f>P787</f>
        <v>0</v>
      </c>
      <c r="Q786" s="87">
        <f t="shared" si="164"/>
        <v>29248.699999999997</v>
      </c>
      <c r="R786" s="13">
        <f>R787</f>
        <v>0</v>
      </c>
      <c r="S786" s="87">
        <f t="shared" si="163"/>
        <v>29248.699999999997</v>
      </c>
    </row>
    <row r="787" spans="1:19" ht="12.75">
      <c r="A787" s="62" t="str">
        <f ca="1">IF(ISERROR(MATCH(E787,Код_КЦСР,0)),"",INDIRECT(ADDRESS(MATCH(E787,Код_КЦСР,0)+1,2,,,"КЦСР")))</f>
        <v>Расходы, не включенные в муниципальные программы города Череповца</v>
      </c>
      <c r="B787" s="115">
        <v>805</v>
      </c>
      <c r="C787" s="8" t="s">
        <v>203</v>
      </c>
      <c r="D787" s="8" t="s">
        <v>227</v>
      </c>
      <c r="E787" s="115" t="s">
        <v>309</v>
      </c>
      <c r="F787" s="115"/>
      <c r="G787" s="70">
        <f>G788+G799</f>
        <v>27790.399999999998</v>
      </c>
      <c r="H787" s="70">
        <f>H788+H799</f>
        <v>0</v>
      </c>
      <c r="I787" s="70">
        <f t="shared" si="168"/>
        <v>27790.399999999998</v>
      </c>
      <c r="J787" s="70">
        <f>J788+J799+J795</f>
        <v>1458.3</v>
      </c>
      <c r="K787" s="87">
        <f t="shared" si="165"/>
        <v>29248.699999999997</v>
      </c>
      <c r="L787" s="13">
        <f>L788+L799+L795</f>
        <v>0</v>
      </c>
      <c r="M787" s="87">
        <f t="shared" si="157"/>
        <v>29248.699999999997</v>
      </c>
      <c r="N787" s="13">
        <f>N788+N799+N795</f>
        <v>0</v>
      </c>
      <c r="O787" s="87">
        <f t="shared" si="158"/>
        <v>29248.699999999997</v>
      </c>
      <c r="P787" s="13">
        <f>P788+P799+P795</f>
        <v>0</v>
      </c>
      <c r="Q787" s="87">
        <f t="shared" si="164"/>
        <v>29248.699999999997</v>
      </c>
      <c r="R787" s="13">
        <f>R788+R799+R795</f>
        <v>0</v>
      </c>
      <c r="S787" s="87">
        <f t="shared" si="163"/>
        <v>29248.699999999997</v>
      </c>
    </row>
    <row r="788" spans="1:19" ht="33">
      <c r="A788" s="62" t="str">
        <f ca="1">IF(ISERROR(MATCH(E788,Код_КЦСР,0)),"",INDIRECT(ADDRESS(MATCH(E788,Код_КЦСР,0)+1,2,,,"КЦСР")))</f>
        <v>Руководство и управление в сфере установленных функций органов местного самоуправления</v>
      </c>
      <c r="B788" s="115">
        <v>805</v>
      </c>
      <c r="C788" s="8" t="s">
        <v>203</v>
      </c>
      <c r="D788" s="8" t="s">
        <v>227</v>
      </c>
      <c r="E788" s="115" t="s">
        <v>311</v>
      </c>
      <c r="F788" s="115"/>
      <c r="G788" s="70">
        <f>G789</f>
        <v>20820.6</v>
      </c>
      <c r="H788" s="70">
        <f>H789</f>
        <v>0</v>
      </c>
      <c r="I788" s="70">
        <f t="shared" si="168"/>
        <v>20820.6</v>
      </c>
      <c r="J788" s="70">
        <f>J789</f>
        <v>0</v>
      </c>
      <c r="K788" s="87">
        <f t="shared" si="165"/>
        <v>20820.6</v>
      </c>
      <c r="L788" s="13">
        <f>L789</f>
        <v>0</v>
      </c>
      <c r="M788" s="87">
        <f aca="true" t="shared" si="169" ref="M788:M851">K788+L788</f>
        <v>20820.6</v>
      </c>
      <c r="N788" s="13">
        <f>N789</f>
        <v>0</v>
      </c>
      <c r="O788" s="87">
        <f aca="true" t="shared" si="170" ref="O788:O851">M788+N788</f>
        <v>20820.6</v>
      </c>
      <c r="P788" s="13">
        <f>P789</f>
        <v>0</v>
      </c>
      <c r="Q788" s="87">
        <f t="shared" si="164"/>
        <v>20820.6</v>
      </c>
      <c r="R788" s="13">
        <f>R789</f>
        <v>0</v>
      </c>
      <c r="S788" s="87">
        <f t="shared" si="163"/>
        <v>20820.6</v>
      </c>
    </row>
    <row r="789" spans="1:19" ht="12.75">
      <c r="A789" s="62" t="str">
        <f ca="1">IF(ISERROR(MATCH(E789,Код_КЦСР,0)),"",INDIRECT(ADDRESS(MATCH(E789,Код_КЦСР,0)+1,2,,,"КЦСР")))</f>
        <v>Центральный аппарат</v>
      </c>
      <c r="B789" s="115">
        <v>805</v>
      </c>
      <c r="C789" s="8" t="s">
        <v>203</v>
      </c>
      <c r="D789" s="8" t="s">
        <v>227</v>
      </c>
      <c r="E789" s="115" t="s">
        <v>314</v>
      </c>
      <c r="F789" s="115"/>
      <c r="G789" s="70">
        <f>G790+G792</f>
        <v>20820.6</v>
      </c>
      <c r="H789" s="70">
        <f>H790+H792</f>
        <v>0</v>
      </c>
      <c r="I789" s="70">
        <f t="shared" si="168"/>
        <v>20820.6</v>
      </c>
      <c r="J789" s="70">
        <f>J790+J792</f>
        <v>0</v>
      </c>
      <c r="K789" s="87">
        <f t="shared" si="165"/>
        <v>20820.6</v>
      </c>
      <c r="L789" s="13">
        <f>L790+L792</f>
        <v>0</v>
      </c>
      <c r="M789" s="87">
        <f t="shared" si="169"/>
        <v>20820.6</v>
      </c>
      <c r="N789" s="13">
        <f>N790+N792</f>
        <v>0</v>
      </c>
      <c r="O789" s="87">
        <f t="shared" si="170"/>
        <v>20820.6</v>
      </c>
      <c r="P789" s="13">
        <f>P790+P792</f>
        <v>0</v>
      </c>
      <c r="Q789" s="87">
        <f t="shared" si="164"/>
        <v>20820.6</v>
      </c>
      <c r="R789" s="13">
        <f>R790+R792</f>
        <v>0</v>
      </c>
      <c r="S789" s="87">
        <f t="shared" si="163"/>
        <v>20820.6</v>
      </c>
    </row>
    <row r="790" spans="1:19" ht="33">
      <c r="A790" s="62" t="str">
        <f ca="1">IF(ISERROR(MATCH(F790,Код_КВР,0)),"",INDIRECT(ADDRESS(MATCH(F790,Код_КВР,0)+1,2,,,"КВР")))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90" s="115">
        <v>805</v>
      </c>
      <c r="C790" s="8" t="s">
        <v>203</v>
      </c>
      <c r="D790" s="8" t="s">
        <v>227</v>
      </c>
      <c r="E790" s="115" t="s">
        <v>314</v>
      </c>
      <c r="F790" s="115">
        <v>100</v>
      </c>
      <c r="G790" s="70">
        <f>G791</f>
        <v>20763</v>
      </c>
      <c r="H790" s="70">
        <f>H791</f>
        <v>0</v>
      </c>
      <c r="I790" s="70">
        <f t="shared" si="168"/>
        <v>20763</v>
      </c>
      <c r="J790" s="70">
        <f>J791</f>
        <v>0</v>
      </c>
      <c r="K790" s="87">
        <f t="shared" si="165"/>
        <v>20763</v>
      </c>
      <c r="L790" s="13">
        <f>L791</f>
        <v>0</v>
      </c>
      <c r="M790" s="87">
        <f t="shared" si="169"/>
        <v>20763</v>
      </c>
      <c r="N790" s="13">
        <f>N791</f>
        <v>0</v>
      </c>
      <c r="O790" s="87">
        <f t="shared" si="170"/>
        <v>20763</v>
      </c>
      <c r="P790" s="13">
        <f>P791</f>
        <v>0</v>
      </c>
      <c r="Q790" s="87">
        <f t="shared" si="164"/>
        <v>20763</v>
      </c>
      <c r="R790" s="13">
        <f>R791</f>
        <v>0</v>
      </c>
      <c r="S790" s="87">
        <f t="shared" si="163"/>
        <v>20763</v>
      </c>
    </row>
    <row r="791" spans="1:19" ht="12.75">
      <c r="A791" s="62" t="str">
        <f ca="1">IF(ISERROR(MATCH(F791,Код_КВР,0)),"",INDIRECT(ADDRESS(MATCH(F791,Код_КВР,0)+1,2,,,"КВР")))</f>
        <v>Расходы на выплаты персоналу муниципальных органов</v>
      </c>
      <c r="B791" s="115">
        <v>805</v>
      </c>
      <c r="C791" s="8" t="s">
        <v>203</v>
      </c>
      <c r="D791" s="8" t="s">
        <v>227</v>
      </c>
      <c r="E791" s="115" t="s">
        <v>314</v>
      </c>
      <c r="F791" s="115">
        <v>120</v>
      </c>
      <c r="G791" s="70">
        <v>20763</v>
      </c>
      <c r="H791" s="65"/>
      <c r="I791" s="70">
        <f t="shared" si="168"/>
        <v>20763</v>
      </c>
      <c r="J791" s="65"/>
      <c r="K791" s="87">
        <f t="shared" si="165"/>
        <v>20763</v>
      </c>
      <c r="L791" s="87"/>
      <c r="M791" s="87">
        <f t="shared" si="169"/>
        <v>20763</v>
      </c>
      <c r="N791" s="87"/>
      <c r="O791" s="87">
        <f t="shared" si="170"/>
        <v>20763</v>
      </c>
      <c r="P791" s="87"/>
      <c r="Q791" s="87">
        <f t="shared" si="164"/>
        <v>20763</v>
      </c>
      <c r="R791" s="87"/>
      <c r="S791" s="87">
        <f t="shared" si="163"/>
        <v>20763</v>
      </c>
    </row>
    <row r="792" spans="1:19" ht="12.75">
      <c r="A792" s="62" t="str">
        <f ca="1">IF(ISERROR(MATCH(F792,Код_КВР,0)),"",INDIRECT(ADDRESS(MATCH(F792,Код_КВР,0)+1,2,,,"КВР")))</f>
        <v>Закупка товаров, работ и услуг для муниципальных нужд</v>
      </c>
      <c r="B792" s="115">
        <v>805</v>
      </c>
      <c r="C792" s="8" t="s">
        <v>203</v>
      </c>
      <c r="D792" s="8" t="s">
        <v>227</v>
      </c>
      <c r="E792" s="115" t="s">
        <v>314</v>
      </c>
      <c r="F792" s="115">
        <v>200</v>
      </c>
      <c r="G792" s="70">
        <f>G793</f>
        <v>57.6</v>
      </c>
      <c r="H792" s="65"/>
      <c r="I792" s="70">
        <f t="shared" si="168"/>
        <v>57.6</v>
      </c>
      <c r="J792" s="65"/>
      <c r="K792" s="87">
        <f t="shared" si="165"/>
        <v>57.6</v>
      </c>
      <c r="L792" s="87"/>
      <c r="M792" s="87">
        <f t="shared" si="169"/>
        <v>57.6</v>
      </c>
      <c r="N792" s="87"/>
      <c r="O792" s="87">
        <f t="shared" si="170"/>
        <v>57.6</v>
      </c>
      <c r="P792" s="87"/>
      <c r="Q792" s="87">
        <f t="shared" si="164"/>
        <v>57.6</v>
      </c>
      <c r="R792" s="87"/>
      <c r="S792" s="87">
        <f t="shared" si="163"/>
        <v>57.6</v>
      </c>
    </row>
    <row r="793" spans="1:19" ht="33">
      <c r="A793" s="62" t="str">
        <f ca="1">IF(ISERROR(MATCH(F793,Код_КВР,0)),"",INDIRECT(ADDRESS(MATCH(F793,Код_КВР,0)+1,2,,,"КВР")))</f>
        <v>Иные закупки товаров, работ и услуг для обеспечения муниципальных нужд</v>
      </c>
      <c r="B793" s="115">
        <v>805</v>
      </c>
      <c r="C793" s="8" t="s">
        <v>203</v>
      </c>
      <c r="D793" s="8" t="s">
        <v>227</v>
      </c>
      <c r="E793" s="115" t="s">
        <v>314</v>
      </c>
      <c r="F793" s="115">
        <v>240</v>
      </c>
      <c r="G793" s="70">
        <f>G794</f>
        <v>57.6</v>
      </c>
      <c r="H793" s="70">
        <f>H794</f>
        <v>0</v>
      </c>
      <c r="I793" s="70">
        <f t="shared" si="168"/>
        <v>57.6</v>
      </c>
      <c r="J793" s="70">
        <f>J794</f>
        <v>0</v>
      </c>
      <c r="K793" s="87">
        <f t="shared" si="165"/>
        <v>57.6</v>
      </c>
      <c r="L793" s="13">
        <f>L794</f>
        <v>0</v>
      </c>
      <c r="M793" s="87">
        <f t="shared" si="169"/>
        <v>57.6</v>
      </c>
      <c r="N793" s="13">
        <f>N794</f>
        <v>0</v>
      </c>
      <c r="O793" s="87">
        <f t="shared" si="170"/>
        <v>57.6</v>
      </c>
      <c r="P793" s="13">
        <f>P794</f>
        <v>0</v>
      </c>
      <c r="Q793" s="87">
        <f t="shared" si="164"/>
        <v>57.6</v>
      </c>
      <c r="R793" s="13">
        <f>R794</f>
        <v>0</v>
      </c>
      <c r="S793" s="87">
        <f t="shared" si="163"/>
        <v>57.6</v>
      </c>
    </row>
    <row r="794" spans="1:19" ht="33">
      <c r="A794" s="62" t="str">
        <f ca="1">IF(ISERROR(MATCH(F794,Код_КВР,0)),"",INDIRECT(ADDRESS(MATCH(F794,Код_КВР,0)+1,2,,,"КВР")))</f>
        <v xml:space="preserve">Прочая закупка товаров, работ и услуг для обеспечения муниципальных нужд         </v>
      </c>
      <c r="B794" s="115">
        <v>805</v>
      </c>
      <c r="C794" s="8" t="s">
        <v>203</v>
      </c>
      <c r="D794" s="8" t="s">
        <v>227</v>
      </c>
      <c r="E794" s="115" t="s">
        <v>314</v>
      </c>
      <c r="F794" s="115">
        <v>244</v>
      </c>
      <c r="G794" s="70">
        <v>57.6</v>
      </c>
      <c r="H794" s="70"/>
      <c r="I794" s="70">
        <f t="shared" si="168"/>
        <v>57.6</v>
      </c>
      <c r="J794" s="70"/>
      <c r="K794" s="87">
        <f t="shared" si="165"/>
        <v>57.6</v>
      </c>
      <c r="L794" s="13"/>
      <c r="M794" s="87">
        <f t="shared" si="169"/>
        <v>57.6</v>
      </c>
      <c r="N794" s="13"/>
      <c r="O794" s="87">
        <f t="shared" si="170"/>
        <v>57.6</v>
      </c>
      <c r="P794" s="13"/>
      <c r="Q794" s="87">
        <f t="shared" si="164"/>
        <v>57.6</v>
      </c>
      <c r="R794" s="13"/>
      <c r="S794" s="87">
        <f t="shared" si="163"/>
        <v>57.6</v>
      </c>
    </row>
    <row r="795" spans="1:19" ht="12.75">
      <c r="A795" s="62" t="str">
        <f ca="1">IF(ISERROR(MATCH(E795,Код_КЦСР,0)),"",INDIRECT(ADDRESS(MATCH(E795,Код_КЦСР,0)+1,2,,,"КЦСР")))</f>
        <v>Кредиторская задолженность, сложившаяся по итогам 2013 года</v>
      </c>
      <c r="B795" s="115">
        <v>805</v>
      </c>
      <c r="C795" s="8" t="s">
        <v>203</v>
      </c>
      <c r="D795" s="8" t="s">
        <v>227</v>
      </c>
      <c r="E795" s="115" t="s">
        <v>379</v>
      </c>
      <c r="F795" s="115"/>
      <c r="G795" s="70"/>
      <c r="H795" s="70"/>
      <c r="I795" s="70"/>
      <c r="J795" s="70">
        <f>J796</f>
        <v>1458.3</v>
      </c>
      <c r="K795" s="87">
        <f t="shared" si="165"/>
        <v>1458.3</v>
      </c>
      <c r="L795" s="13">
        <f>L796</f>
        <v>0</v>
      </c>
      <c r="M795" s="87">
        <f t="shared" si="169"/>
        <v>1458.3</v>
      </c>
      <c r="N795" s="13">
        <f>N796</f>
        <v>0</v>
      </c>
      <c r="O795" s="87">
        <f t="shared" si="170"/>
        <v>1458.3</v>
      </c>
      <c r="P795" s="13">
        <f>P796</f>
        <v>0</v>
      </c>
      <c r="Q795" s="87">
        <f t="shared" si="164"/>
        <v>1458.3</v>
      </c>
      <c r="R795" s="13">
        <f>R796</f>
        <v>0</v>
      </c>
      <c r="S795" s="87">
        <f t="shared" si="163"/>
        <v>1458.3</v>
      </c>
    </row>
    <row r="796" spans="1:19" ht="33">
      <c r="A796" s="62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115">
        <v>805</v>
      </c>
      <c r="C796" s="8" t="s">
        <v>203</v>
      </c>
      <c r="D796" s="8" t="s">
        <v>227</v>
      </c>
      <c r="E796" s="115" t="s">
        <v>379</v>
      </c>
      <c r="F796" s="115">
        <v>600</v>
      </c>
      <c r="G796" s="70"/>
      <c r="H796" s="70"/>
      <c r="I796" s="70"/>
      <c r="J796" s="70">
        <f>J797</f>
        <v>1458.3</v>
      </c>
      <c r="K796" s="87">
        <f t="shared" si="165"/>
        <v>1458.3</v>
      </c>
      <c r="L796" s="13">
        <f>L797</f>
        <v>0</v>
      </c>
      <c r="M796" s="87">
        <f t="shared" si="169"/>
        <v>1458.3</v>
      </c>
      <c r="N796" s="13">
        <f>N797</f>
        <v>0</v>
      </c>
      <c r="O796" s="87">
        <f t="shared" si="170"/>
        <v>1458.3</v>
      </c>
      <c r="P796" s="13">
        <f>P797</f>
        <v>0</v>
      </c>
      <c r="Q796" s="87">
        <f t="shared" si="164"/>
        <v>1458.3</v>
      </c>
      <c r="R796" s="13">
        <f>R797</f>
        <v>0</v>
      </c>
      <c r="S796" s="87">
        <f t="shared" si="163"/>
        <v>1458.3</v>
      </c>
    </row>
    <row r="797" spans="1:19" ht="12.75">
      <c r="A797" s="62" t="str">
        <f ca="1">IF(ISERROR(MATCH(F797,Код_КВР,0)),"",INDIRECT(ADDRESS(MATCH(F797,Код_КВР,0)+1,2,,,"КВР")))</f>
        <v>Субсидии бюджетным учреждениям</v>
      </c>
      <c r="B797" s="115">
        <v>805</v>
      </c>
      <c r="C797" s="8" t="s">
        <v>203</v>
      </c>
      <c r="D797" s="8" t="s">
        <v>227</v>
      </c>
      <c r="E797" s="115" t="s">
        <v>379</v>
      </c>
      <c r="F797" s="115">
        <v>610</v>
      </c>
      <c r="G797" s="70"/>
      <c r="H797" s="70"/>
      <c r="I797" s="70"/>
      <c r="J797" s="70">
        <f>J798</f>
        <v>1458.3</v>
      </c>
      <c r="K797" s="87">
        <f t="shared" si="165"/>
        <v>1458.3</v>
      </c>
      <c r="L797" s="13">
        <f>L798</f>
        <v>0</v>
      </c>
      <c r="M797" s="87">
        <f t="shared" si="169"/>
        <v>1458.3</v>
      </c>
      <c r="N797" s="13">
        <f>N798</f>
        <v>0</v>
      </c>
      <c r="O797" s="87">
        <f t="shared" si="170"/>
        <v>1458.3</v>
      </c>
      <c r="P797" s="13">
        <f>P798</f>
        <v>0</v>
      </c>
      <c r="Q797" s="87">
        <f t="shared" si="164"/>
        <v>1458.3</v>
      </c>
      <c r="R797" s="13">
        <f>R798</f>
        <v>0</v>
      </c>
      <c r="S797" s="87">
        <f t="shared" si="163"/>
        <v>1458.3</v>
      </c>
    </row>
    <row r="798" spans="1:19" ht="12.75">
      <c r="A798" s="62" t="str">
        <f ca="1">IF(ISERROR(MATCH(F798,Код_КВР,0)),"",INDIRECT(ADDRESS(MATCH(F798,Код_КВР,0)+1,2,,,"КВР")))</f>
        <v>Субсидии бюджетным учреждениям на иные цели</v>
      </c>
      <c r="B798" s="115">
        <v>805</v>
      </c>
      <c r="C798" s="8" t="s">
        <v>203</v>
      </c>
      <c r="D798" s="8" t="s">
        <v>227</v>
      </c>
      <c r="E798" s="115" t="s">
        <v>379</v>
      </c>
      <c r="F798" s="115">
        <v>612</v>
      </c>
      <c r="G798" s="70"/>
      <c r="H798" s="70"/>
      <c r="I798" s="70"/>
      <c r="J798" s="70">
        <v>1458.3</v>
      </c>
      <c r="K798" s="87">
        <f t="shared" si="165"/>
        <v>1458.3</v>
      </c>
      <c r="L798" s="13"/>
      <c r="M798" s="87">
        <f t="shared" si="169"/>
        <v>1458.3</v>
      </c>
      <c r="N798" s="13"/>
      <c r="O798" s="87">
        <f t="shared" si="170"/>
        <v>1458.3</v>
      </c>
      <c r="P798" s="13"/>
      <c r="Q798" s="87">
        <f t="shared" si="164"/>
        <v>1458.3</v>
      </c>
      <c r="R798" s="13"/>
      <c r="S798" s="87">
        <f t="shared" si="163"/>
        <v>1458.3</v>
      </c>
    </row>
    <row r="799" spans="1:19" ht="115.5">
      <c r="A799" s="62" t="str">
        <f ca="1">IF(ISERROR(MATCH(E799,Код_КЦСР,0)),"",INDIRECT(ADDRESS(MATCH(E799,Код_КЦСР,0)+1,2,,,"КЦСР")))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99" s="115">
        <v>805</v>
      </c>
      <c r="C799" s="8" t="s">
        <v>203</v>
      </c>
      <c r="D799" s="8" t="s">
        <v>227</v>
      </c>
      <c r="E799" s="115" t="s">
        <v>398</v>
      </c>
      <c r="F799" s="115"/>
      <c r="G799" s="70">
        <f>G800+G802</f>
        <v>6969.8</v>
      </c>
      <c r="H799" s="70">
        <f>H800+H802</f>
        <v>0</v>
      </c>
      <c r="I799" s="70">
        <f t="shared" si="168"/>
        <v>6969.8</v>
      </c>
      <c r="J799" s="70">
        <f>J800+J802</f>
        <v>0</v>
      </c>
      <c r="K799" s="87">
        <f t="shared" si="165"/>
        <v>6969.8</v>
      </c>
      <c r="L799" s="13">
        <f>L800+L802</f>
        <v>0</v>
      </c>
      <c r="M799" s="87">
        <f t="shared" si="169"/>
        <v>6969.8</v>
      </c>
      <c r="N799" s="13">
        <f>N800+N802</f>
        <v>0</v>
      </c>
      <c r="O799" s="87">
        <f t="shared" si="170"/>
        <v>6969.8</v>
      </c>
      <c r="P799" s="13">
        <f>P800+P802</f>
        <v>0</v>
      </c>
      <c r="Q799" s="87">
        <f t="shared" si="164"/>
        <v>6969.8</v>
      </c>
      <c r="R799" s="13">
        <f>R800+R802</f>
        <v>0</v>
      </c>
      <c r="S799" s="87">
        <f t="shared" si="163"/>
        <v>6969.8</v>
      </c>
    </row>
    <row r="800" spans="1:19" ht="33">
      <c r="A800" s="62" t="str">
        <f ca="1">IF(ISERROR(MATCH(F800,Код_КВР,0)),"",INDIRECT(ADDRESS(MATCH(F800,Код_КВР,0)+1,2,,,"КВР")))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0" s="115">
        <v>805</v>
      </c>
      <c r="C800" s="8" t="s">
        <v>203</v>
      </c>
      <c r="D800" s="8" t="s">
        <v>227</v>
      </c>
      <c r="E800" s="115" t="s">
        <v>398</v>
      </c>
      <c r="F800" s="115">
        <v>100</v>
      </c>
      <c r="G800" s="70">
        <f>G801</f>
        <v>6501.2</v>
      </c>
      <c r="H800" s="70">
        <f>H801</f>
        <v>0</v>
      </c>
      <c r="I800" s="70">
        <f t="shared" si="168"/>
        <v>6501.2</v>
      </c>
      <c r="J800" s="70">
        <f>J801</f>
        <v>0</v>
      </c>
      <c r="K800" s="87">
        <f t="shared" si="165"/>
        <v>6501.2</v>
      </c>
      <c r="L800" s="13">
        <f>L801</f>
        <v>0</v>
      </c>
      <c r="M800" s="87">
        <f t="shared" si="169"/>
        <v>6501.2</v>
      </c>
      <c r="N800" s="13">
        <f>N801</f>
        <v>0</v>
      </c>
      <c r="O800" s="87">
        <f t="shared" si="170"/>
        <v>6501.2</v>
      </c>
      <c r="P800" s="13">
        <f>P801</f>
        <v>-2</v>
      </c>
      <c r="Q800" s="87">
        <f t="shared" si="164"/>
        <v>6499.2</v>
      </c>
      <c r="R800" s="13">
        <f>R801</f>
        <v>167</v>
      </c>
      <c r="S800" s="87">
        <f t="shared" si="163"/>
        <v>6666.2</v>
      </c>
    </row>
    <row r="801" spans="1:19" ht="12.75">
      <c r="A801" s="62" t="str">
        <f ca="1">IF(ISERROR(MATCH(F801,Код_КВР,0)),"",INDIRECT(ADDRESS(MATCH(F801,Код_КВР,0)+1,2,,,"КВР")))</f>
        <v>Расходы на выплаты персоналу муниципальных органов</v>
      </c>
      <c r="B801" s="115">
        <v>805</v>
      </c>
      <c r="C801" s="8" t="s">
        <v>203</v>
      </c>
      <c r="D801" s="8" t="s">
        <v>227</v>
      </c>
      <c r="E801" s="115" t="s">
        <v>398</v>
      </c>
      <c r="F801" s="115">
        <v>120</v>
      </c>
      <c r="G801" s="70">
        <v>6501.2</v>
      </c>
      <c r="H801" s="70"/>
      <c r="I801" s="70">
        <f t="shared" si="168"/>
        <v>6501.2</v>
      </c>
      <c r="J801" s="70"/>
      <c r="K801" s="87">
        <f t="shared" si="165"/>
        <v>6501.2</v>
      </c>
      <c r="L801" s="13"/>
      <c r="M801" s="87">
        <f t="shared" si="169"/>
        <v>6501.2</v>
      </c>
      <c r="N801" s="13"/>
      <c r="O801" s="87">
        <f t="shared" si="170"/>
        <v>6501.2</v>
      </c>
      <c r="P801" s="13">
        <v>-2</v>
      </c>
      <c r="Q801" s="87">
        <f t="shared" si="164"/>
        <v>6499.2</v>
      </c>
      <c r="R801" s="13">
        <v>167</v>
      </c>
      <c r="S801" s="87">
        <f t="shared" si="163"/>
        <v>6666.2</v>
      </c>
    </row>
    <row r="802" spans="1:19" ht="12.75">
      <c r="A802" s="62" t="str">
        <f ca="1">IF(ISERROR(MATCH(F802,Код_КВР,0)),"",INDIRECT(ADDRESS(MATCH(F802,Код_КВР,0)+1,2,,,"КВР")))</f>
        <v>Закупка товаров, работ и услуг для муниципальных нужд</v>
      </c>
      <c r="B802" s="115">
        <v>805</v>
      </c>
      <c r="C802" s="8" t="s">
        <v>203</v>
      </c>
      <c r="D802" s="8" t="s">
        <v>227</v>
      </c>
      <c r="E802" s="115" t="s">
        <v>398</v>
      </c>
      <c r="F802" s="115">
        <v>200</v>
      </c>
      <c r="G802" s="70">
        <f>G803</f>
        <v>468.6</v>
      </c>
      <c r="H802" s="70">
        <f>H803</f>
        <v>0</v>
      </c>
      <c r="I802" s="70">
        <f t="shared" si="168"/>
        <v>468.6</v>
      </c>
      <c r="J802" s="70">
        <f>J803</f>
        <v>0</v>
      </c>
      <c r="K802" s="87">
        <f t="shared" si="165"/>
        <v>468.6</v>
      </c>
      <c r="L802" s="13">
        <f>L803</f>
        <v>0</v>
      </c>
      <c r="M802" s="87">
        <f t="shared" si="169"/>
        <v>468.6</v>
      </c>
      <c r="N802" s="13">
        <f>N803</f>
        <v>0</v>
      </c>
      <c r="O802" s="87">
        <f t="shared" si="170"/>
        <v>468.6</v>
      </c>
      <c r="P802" s="13">
        <f>P803</f>
        <v>2</v>
      </c>
      <c r="Q802" s="87">
        <f t="shared" si="164"/>
        <v>470.6</v>
      </c>
      <c r="R802" s="13">
        <f>R803</f>
        <v>-167</v>
      </c>
      <c r="S802" s="87">
        <f t="shared" si="163"/>
        <v>303.6</v>
      </c>
    </row>
    <row r="803" spans="1:19" ht="33">
      <c r="A803" s="62" t="str">
        <f ca="1">IF(ISERROR(MATCH(F803,Код_КВР,0)),"",INDIRECT(ADDRESS(MATCH(F803,Код_КВР,0)+1,2,,,"КВР")))</f>
        <v>Иные закупки товаров, работ и услуг для обеспечения муниципальных нужд</v>
      </c>
      <c r="B803" s="115">
        <v>805</v>
      </c>
      <c r="C803" s="8" t="s">
        <v>203</v>
      </c>
      <c r="D803" s="8" t="s">
        <v>227</v>
      </c>
      <c r="E803" s="115" t="s">
        <v>398</v>
      </c>
      <c r="F803" s="115">
        <v>240</v>
      </c>
      <c r="G803" s="70">
        <f>G804</f>
        <v>468.6</v>
      </c>
      <c r="H803" s="70">
        <f>H804</f>
        <v>0</v>
      </c>
      <c r="I803" s="70">
        <f t="shared" si="168"/>
        <v>468.6</v>
      </c>
      <c r="J803" s="70">
        <f>J804</f>
        <v>0</v>
      </c>
      <c r="K803" s="87">
        <f t="shared" si="165"/>
        <v>468.6</v>
      </c>
      <c r="L803" s="13">
        <f>L804</f>
        <v>0</v>
      </c>
      <c r="M803" s="87">
        <f t="shared" si="169"/>
        <v>468.6</v>
      </c>
      <c r="N803" s="13">
        <f>N804</f>
        <v>0</v>
      </c>
      <c r="O803" s="87">
        <f t="shared" si="170"/>
        <v>468.6</v>
      </c>
      <c r="P803" s="13">
        <f>P804</f>
        <v>2</v>
      </c>
      <c r="Q803" s="87">
        <f t="shared" si="164"/>
        <v>470.6</v>
      </c>
      <c r="R803" s="13">
        <f>R804</f>
        <v>-167</v>
      </c>
      <c r="S803" s="87">
        <f t="shared" si="163"/>
        <v>303.6</v>
      </c>
    </row>
    <row r="804" spans="1:19" ht="33">
      <c r="A804" s="62" t="str">
        <f ca="1">IF(ISERROR(MATCH(F804,Код_КВР,0)),"",INDIRECT(ADDRESS(MATCH(F804,Код_КВР,0)+1,2,,,"КВР")))</f>
        <v xml:space="preserve">Прочая закупка товаров, работ и услуг для обеспечения муниципальных нужд         </v>
      </c>
      <c r="B804" s="115">
        <v>805</v>
      </c>
      <c r="C804" s="8" t="s">
        <v>203</v>
      </c>
      <c r="D804" s="8" t="s">
        <v>227</v>
      </c>
      <c r="E804" s="115" t="s">
        <v>398</v>
      </c>
      <c r="F804" s="115">
        <v>244</v>
      </c>
      <c r="G804" s="70">
        <v>468.6</v>
      </c>
      <c r="H804" s="65"/>
      <c r="I804" s="70">
        <f t="shared" si="168"/>
        <v>468.6</v>
      </c>
      <c r="J804" s="65"/>
      <c r="K804" s="87">
        <f t="shared" si="165"/>
        <v>468.6</v>
      </c>
      <c r="L804" s="87"/>
      <c r="M804" s="87">
        <f t="shared" si="169"/>
        <v>468.6</v>
      </c>
      <c r="N804" s="87"/>
      <c r="O804" s="87">
        <f t="shared" si="170"/>
        <v>468.6</v>
      </c>
      <c r="P804" s="87">
        <v>2</v>
      </c>
      <c r="Q804" s="87">
        <f t="shared" si="164"/>
        <v>470.6</v>
      </c>
      <c r="R804" s="87">
        <v>-167</v>
      </c>
      <c r="S804" s="87">
        <f t="shared" si="163"/>
        <v>303.6</v>
      </c>
    </row>
    <row r="805" spans="1:19" ht="12.75">
      <c r="A805" s="62" t="str">
        <f ca="1">IF(ISERROR(MATCH(C805,Код_Раздел,0)),"",INDIRECT(ADDRESS(MATCH(C805,Код_Раздел,0)+1,2,,,"Раздел")))</f>
        <v>Социальная политика</v>
      </c>
      <c r="B805" s="115">
        <v>805</v>
      </c>
      <c r="C805" s="8" t="s">
        <v>196</v>
      </c>
      <c r="D805" s="8"/>
      <c r="E805" s="115"/>
      <c r="F805" s="115"/>
      <c r="G805" s="70">
        <f>G806+G825</f>
        <v>154405.10000000003</v>
      </c>
      <c r="H805" s="70">
        <f>H806+H825</f>
        <v>0</v>
      </c>
      <c r="I805" s="70">
        <f t="shared" si="168"/>
        <v>154405.10000000003</v>
      </c>
      <c r="J805" s="70">
        <f>J806+J825</f>
        <v>0</v>
      </c>
      <c r="K805" s="87">
        <f t="shared" si="165"/>
        <v>154405.10000000003</v>
      </c>
      <c r="L805" s="13">
        <f>L806+L825</f>
        <v>0</v>
      </c>
      <c r="M805" s="87">
        <f t="shared" si="169"/>
        <v>154405.10000000003</v>
      </c>
      <c r="N805" s="13">
        <f>N806+N825</f>
        <v>0</v>
      </c>
      <c r="O805" s="87">
        <f t="shared" si="170"/>
        <v>154405.10000000003</v>
      </c>
      <c r="P805" s="13">
        <f>P806+P825</f>
        <v>-10</v>
      </c>
      <c r="Q805" s="87">
        <f t="shared" si="164"/>
        <v>154395.10000000003</v>
      </c>
      <c r="R805" s="13">
        <f>R806+R825</f>
        <v>491.2</v>
      </c>
      <c r="S805" s="87">
        <f t="shared" si="163"/>
        <v>154886.30000000005</v>
      </c>
    </row>
    <row r="806" spans="1:19" ht="12.75">
      <c r="A806" s="12" t="s">
        <v>187</v>
      </c>
      <c r="B806" s="115">
        <v>805</v>
      </c>
      <c r="C806" s="8" t="s">
        <v>196</v>
      </c>
      <c r="D806" s="8" t="s">
        <v>223</v>
      </c>
      <c r="E806" s="115"/>
      <c r="F806" s="115"/>
      <c r="G806" s="70">
        <f>G807</f>
        <v>22087.2</v>
      </c>
      <c r="H806" s="70">
        <f>H807</f>
        <v>0</v>
      </c>
      <c r="I806" s="70">
        <f t="shared" si="168"/>
        <v>22087.2</v>
      </c>
      <c r="J806" s="70">
        <f>J807</f>
        <v>0</v>
      </c>
      <c r="K806" s="87">
        <f t="shared" si="165"/>
        <v>22087.2</v>
      </c>
      <c r="L806" s="13">
        <f>L807</f>
        <v>0</v>
      </c>
      <c r="M806" s="87">
        <f t="shared" si="169"/>
        <v>22087.2</v>
      </c>
      <c r="N806" s="13">
        <f>N807</f>
        <v>0</v>
      </c>
      <c r="O806" s="87">
        <f t="shared" si="170"/>
        <v>22087.2</v>
      </c>
      <c r="P806" s="13">
        <f>P807</f>
        <v>-10</v>
      </c>
      <c r="Q806" s="87">
        <f t="shared" si="164"/>
        <v>22077.2</v>
      </c>
      <c r="R806" s="13">
        <f>R807</f>
        <v>491.2</v>
      </c>
      <c r="S806" s="87">
        <f t="shared" si="163"/>
        <v>22568.4</v>
      </c>
    </row>
    <row r="807" spans="1:19" ht="12.75">
      <c r="A807" s="62" t="str">
        <f ca="1">IF(ISERROR(MATCH(E807,Код_КЦСР,0)),"",INDIRECT(ADDRESS(MATCH(E807,Код_КЦСР,0)+1,2,,,"КЦСР")))</f>
        <v>Муниципальная программа «Развитие образования» на 2013-2022 годы</v>
      </c>
      <c r="B807" s="115">
        <v>805</v>
      </c>
      <c r="C807" s="8" t="s">
        <v>196</v>
      </c>
      <c r="D807" s="8" t="s">
        <v>223</v>
      </c>
      <c r="E807" s="115" t="s">
        <v>279</v>
      </c>
      <c r="F807" s="115"/>
      <c r="G807" s="70">
        <f>G808+G813+G819</f>
        <v>22087.2</v>
      </c>
      <c r="H807" s="70">
        <f>H808+H813+H819</f>
        <v>0</v>
      </c>
      <c r="I807" s="70">
        <f t="shared" si="168"/>
        <v>22087.2</v>
      </c>
      <c r="J807" s="70">
        <f>J808+J813+J819</f>
        <v>0</v>
      </c>
      <c r="K807" s="87">
        <f t="shared" si="165"/>
        <v>22087.2</v>
      </c>
      <c r="L807" s="13">
        <f>L808+L813+L819</f>
        <v>0</v>
      </c>
      <c r="M807" s="87">
        <f t="shared" si="169"/>
        <v>22087.2</v>
      </c>
      <c r="N807" s="13">
        <f>N808+N813+N819</f>
        <v>0</v>
      </c>
      <c r="O807" s="87">
        <f t="shared" si="170"/>
        <v>22087.2</v>
      </c>
      <c r="P807" s="13">
        <f>P808+P813+P819</f>
        <v>-10</v>
      </c>
      <c r="Q807" s="87">
        <f t="shared" si="164"/>
        <v>22077.2</v>
      </c>
      <c r="R807" s="13">
        <f>R808+R813+R819</f>
        <v>491.2</v>
      </c>
      <c r="S807" s="87">
        <f t="shared" si="163"/>
        <v>22568.4</v>
      </c>
    </row>
    <row r="808" spans="1:19" ht="12.75">
      <c r="A808" s="62" t="str">
        <f ca="1">IF(ISERROR(MATCH(E808,Код_КЦСР,0)),"",INDIRECT(ADDRESS(MATCH(E808,Код_КЦСР,0)+1,2,,,"КЦСР")))</f>
        <v>Общее образование</v>
      </c>
      <c r="B808" s="115">
        <v>805</v>
      </c>
      <c r="C808" s="8" t="s">
        <v>196</v>
      </c>
      <c r="D808" s="8" t="s">
        <v>223</v>
      </c>
      <c r="E808" s="115" t="s">
        <v>288</v>
      </c>
      <c r="F808" s="115"/>
      <c r="G808" s="70">
        <f aca="true" t="shared" si="171" ref="G808:R811">G809</f>
        <v>6276.3</v>
      </c>
      <c r="H808" s="70">
        <f t="shared" si="171"/>
        <v>0</v>
      </c>
      <c r="I808" s="70">
        <f t="shared" si="168"/>
        <v>6276.3</v>
      </c>
      <c r="J808" s="70">
        <f t="shared" si="171"/>
        <v>0</v>
      </c>
      <c r="K808" s="87">
        <f t="shared" si="165"/>
        <v>6276.3</v>
      </c>
      <c r="L808" s="13">
        <f t="shared" si="171"/>
        <v>0</v>
      </c>
      <c r="M808" s="87">
        <f t="shared" si="169"/>
        <v>6276.3</v>
      </c>
      <c r="N808" s="13">
        <f t="shared" si="171"/>
        <v>0</v>
      </c>
      <c r="O808" s="87">
        <f t="shared" si="170"/>
        <v>6276.3</v>
      </c>
      <c r="P808" s="13">
        <f t="shared" si="171"/>
        <v>0</v>
      </c>
      <c r="Q808" s="87">
        <f t="shared" si="164"/>
        <v>6276.3</v>
      </c>
      <c r="R808" s="13">
        <f t="shared" si="171"/>
        <v>0</v>
      </c>
      <c r="S808" s="87">
        <f t="shared" si="163"/>
        <v>6276.3</v>
      </c>
    </row>
    <row r="809" spans="1:19" ht="115.5">
      <c r="A809" s="62" t="str">
        <f ca="1">IF(ISERROR(MATCH(E809,Код_КЦСР,0)),"",INDIRECT(ADDRESS(MATCH(E809,Код_КЦСР,0)+1,2,,,"КЦСР")))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809" s="115">
        <v>805</v>
      </c>
      <c r="C809" s="8" t="s">
        <v>196</v>
      </c>
      <c r="D809" s="8" t="s">
        <v>223</v>
      </c>
      <c r="E809" s="115" t="s">
        <v>443</v>
      </c>
      <c r="F809" s="115"/>
      <c r="G809" s="70">
        <f t="shared" si="171"/>
        <v>6276.3</v>
      </c>
      <c r="H809" s="70">
        <f t="shared" si="171"/>
        <v>0</v>
      </c>
      <c r="I809" s="70">
        <f t="shared" si="168"/>
        <v>6276.3</v>
      </c>
      <c r="J809" s="70">
        <f t="shared" si="171"/>
        <v>0</v>
      </c>
      <c r="K809" s="87">
        <f t="shared" si="165"/>
        <v>6276.3</v>
      </c>
      <c r="L809" s="13">
        <f t="shared" si="171"/>
        <v>0</v>
      </c>
      <c r="M809" s="87">
        <f t="shared" si="169"/>
        <v>6276.3</v>
      </c>
      <c r="N809" s="13">
        <f t="shared" si="171"/>
        <v>0</v>
      </c>
      <c r="O809" s="87">
        <f t="shared" si="170"/>
        <v>6276.3</v>
      </c>
      <c r="P809" s="13">
        <f t="shared" si="171"/>
        <v>0</v>
      </c>
      <c r="Q809" s="87">
        <f t="shared" si="164"/>
        <v>6276.3</v>
      </c>
      <c r="R809" s="13">
        <f t="shared" si="171"/>
        <v>0</v>
      </c>
      <c r="S809" s="87">
        <f t="shared" si="163"/>
        <v>6276.3</v>
      </c>
    </row>
    <row r="810" spans="1:19" ht="12.75">
      <c r="A810" s="62" t="str">
        <f ca="1">IF(ISERROR(MATCH(F810,Код_КВР,0)),"",INDIRECT(ADDRESS(MATCH(F810,Код_КВР,0)+1,2,,,"КВР")))</f>
        <v>Социальное обеспечение и иные выплаты населению</v>
      </c>
      <c r="B810" s="115">
        <v>805</v>
      </c>
      <c r="C810" s="8" t="s">
        <v>196</v>
      </c>
      <c r="D810" s="8" t="s">
        <v>223</v>
      </c>
      <c r="E810" s="115" t="s">
        <v>443</v>
      </c>
      <c r="F810" s="115">
        <v>300</v>
      </c>
      <c r="G810" s="70">
        <f t="shared" si="171"/>
        <v>6276.3</v>
      </c>
      <c r="H810" s="70">
        <f t="shared" si="171"/>
        <v>0</v>
      </c>
      <c r="I810" s="70">
        <f t="shared" si="168"/>
        <v>6276.3</v>
      </c>
      <c r="J810" s="70">
        <f t="shared" si="171"/>
        <v>0</v>
      </c>
      <c r="K810" s="87">
        <f t="shared" si="165"/>
        <v>6276.3</v>
      </c>
      <c r="L810" s="13">
        <f t="shared" si="171"/>
        <v>0</v>
      </c>
      <c r="M810" s="87">
        <f t="shared" si="169"/>
        <v>6276.3</v>
      </c>
      <c r="N810" s="13">
        <f t="shared" si="171"/>
        <v>0</v>
      </c>
      <c r="O810" s="87">
        <f t="shared" si="170"/>
        <v>6276.3</v>
      </c>
      <c r="P810" s="13">
        <f t="shared" si="171"/>
        <v>0</v>
      </c>
      <c r="Q810" s="87">
        <f t="shared" si="164"/>
        <v>6276.3</v>
      </c>
      <c r="R810" s="13">
        <f t="shared" si="171"/>
        <v>0</v>
      </c>
      <c r="S810" s="87">
        <f t="shared" si="163"/>
        <v>6276.3</v>
      </c>
    </row>
    <row r="811" spans="1:19" ht="33">
      <c r="A811" s="62" t="str">
        <f ca="1">IF(ISERROR(MATCH(F811,Код_КВР,0)),"",INDIRECT(ADDRESS(MATCH(F811,Код_КВР,0)+1,2,,,"КВР")))</f>
        <v>Социальные выплаты гражданам, кроме публичных нормативных социальных выплат</v>
      </c>
      <c r="B811" s="115">
        <v>805</v>
      </c>
      <c r="C811" s="8" t="s">
        <v>196</v>
      </c>
      <c r="D811" s="8" t="s">
        <v>223</v>
      </c>
      <c r="E811" s="115" t="s">
        <v>443</v>
      </c>
      <c r="F811" s="115">
        <v>320</v>
      </c>
      <c r="G811" s="70">
        <f t="shared" si="171"/>
        <v>6276.3</v>
      </c>
      <c r="H811" s="70">
        <f t="shared" si="171"/>
        <v>0</v>
      </c>
      <c r="I811" s="70">
        <f t="shared" si="168"/>
        <v>6276.3</v>
      </c>
      <c r="J811" s="70">
        <f t="shared" si="171"/>
        <v>0</v>
      </c>
      <c r="K811" s="87">
        <f t="shared" si="165"/>
        <v>6276.3</v>
      </c>
      <c r="L811" s="13">
        <f t="shared" si="171"/>
        <v>0</v>
      </c>
      <c r="M811" s="87">
        <f t="shared" si="169"/>
        <v>6276.3</v>
      </c>
      <c r="N811" s="13">
        <f t="shared" si="171"/>
        <v>0</v>
      </c>
      <c r="O811" s="87">
        <f t="shared" si="170"/>
        <v>6276.3</v>
      </c>
      <c r="P811" s="13">
        <f t="shared" si="171"/>
        <v>0</v>
      </c>
      <c r="Q811" s="87">
        <f t="shared" si="164"/>
        <v>6276.3</v>
      </c>
      <c r="R811" s="13">
        <f t="shared" si="171"/>
        <v>0</v>
      </c>
      <c r="S811" s="87">
        <f t="shared" si="163"/>
        <v>6276.3</v>
      </c>
    </row>
    <row r="812" spans="1:19" ht="33">
      <c r="A812" s="62" t="str">
        <f ca="1">IF(ISERROR(MATCH(F812,Код_КВР,0)),"",INDIRECT(ADDRESS(MATCH(F812,Код_КВР,0)+1,2,,,"КВР")))</f>
        <v>Пособия, компенсации и иные социальные выплаты гражданам, кроме публичных нормативных обязательств</v>
      </c>
      <c r="B812" s="115">
        <v>805</v>
      </c>
      <c r="C812" s="8" t="s">
        <v>196</v>
      </c>
      <c r="D812" s="8" t="s">
        <v>223</v>
      </c>
      <c r="E812" s="115" t="s">
        <v>443</v>
      </c>
      <c r="F812" s="115">
        <v>321</v>
      </c>
      <c r="G812" s="70">
        <v>6276.3</v>
      </c>
      <c r="H812" s="65"/>
      <c r="I812" s="70">
        <f t="shared" si="168"/>
        <v>6276.3</v>
      </c>
      <c r="J812" s="65"/>
      <c r="K812" s="87">
        <f t="shared" si="165"/>
        <v>6276.3</v>
      </c>
      <c r="L812" s="87"/>
      <c r="M812" s="87">
        <f t="shared" si="169"/>
        <v>6276.3</v>
      </c>
      <c r="N812" s="87"/>
      <c r="O812" s="87">
        <f t="shared" si="170"/>
        <v>6276.3</v>
      </c>
      <c r="P812" s="87"/>
      <c r="Q812" s="87">
        <f t="shared" si="164"/>
        <v>6276.3</v>
      </c>
      <c r="R812" s="87"/>
      <c r="S812" s="87">
        <f t="shared" si="163"/>
        <v>6276.3</v>
      </c>
    </row>
    <row r="813" spans="1:19" ht="12.75">
      <c r="A813" s="62" t="str">
        <f ca="1">IF(ISERROR(MATCH(E813,Код_КЦСР,0)),"",INDIRECT(ADDRESS(MATCH(E813,Код_КЦСР,0)+1,2,,,"КЦСР")))</f>
        <v>Кадровое обеспечение муниципальной системы образования</v>
      </c>
      <c r="B813" s="115">
        <v>805</v>
      </c>
      <c r="C813" s="8" t="s">
        <v>196</v>
      </c>
      <c r="D813" s="8" t="s">
        <v>223</v>
      </c>
      <c r="E813" s="115" t="s">
        <v>299</v>
      </c>
      <c r="F813" s="115"/>
      <c r="G813" s="70">
        <f aca="true" t="shared" si="172" ref="G813:R817">G814</f>
        <v>11634.9</v>
      </c>
      <c r="H813" s="70">
        <f t="shared" si="172"/>
        <v>0</v>
      </c>
      <c r="I813" s="70">
        <f t="shared" si="168"/>
        <v>11634.9</v>
      </c>
      <c r="J813" s="70">
        <f t="shared" si="172"/>
        <v>0</v>
      </c>
      <c r="K813" s="87">
        <f t="shared" si="165"/>
        <v>11634.9</v>
      </c>
      <c r="L813" s="13">
        <f t="shared" si="172"/>
        <v>0</v>
      </c>
      <c r="M813" s="87">
        <f t="shared" si="169"/>
        <v>11634.9</v>
      </c>
      <c r="N813" s="13">
        <f t="shared" si="172"/>
        <v>0</v>
      </c>
      <c r="O813" s="87">
        <f t="shared" si="170"/>
        <v>11634.9</v>
      </c>
      <c r="P813" s="13">
        <f t="shared" si="172"/>
        <v>-10</v>
      </c>
      <c r="Q813" s="87">
        <f t="shared" si="164"/>
        <v>11624.9</v>
      </c>
      <c r="R813" s="13">
        <f t="shared" si="172"/>
        <v>0</v>
      </c>
      <c r="S813" s="87">
        <f t="shared" si="163"/>
        <v>11624.9</v>
      </c>
    </row>
    <row r="814" spans="1:19" ht="33">
      <c r="A814" s="62" t="str">
        <f ca="1">IF(ISERROR(MATCH(E814,Код_КЦСР,0)),"",INDIRECT(ADDRESS(MATCH(E814,Код_КЦСР,0)+1,2,,,"КЦСР")))</f>
        <v xml:space="preserve">Осуществление денежных выплат работникам муниципальных образовательных учреждений     </v>
      </c>
      <c r="B814" s="115">
        <v>805</v>
      </c>
      <c r="C814" s="8" t="s">
        <v>196</v>
      </c>
      <c r="D814" s="8" t="s">
        <v>223</v>
      </c>
      <c r="E814" s="115" t="s">
        <v>304</v>
      </c>
      <c r="F814" s="115"/>
      <c r="G814" s="70">
        <f t="shared" si="172"/>
        <v>11634.9</v>
      </c>
      <c r="H814" s="70">
        <f t="shared" si="172"/>
        <v>0</v>
      </c>
      <c r="I814" s="70">
        <f t="shared" si="168"/>
        <v>11634.9</v>
      </c>
      <c r="J814" s="70">
        <f t="shared" si="172"/>
        <v>0</v>
      </c>
      <c r="K814" s="87">
        <f t="shared" si="165"/>
        <v>11634.9</v>
      </c>
      <c r="L814" s="13">
        <f t="shared" si="172"/>
        <v>0</v>
      </c>
      <c r="M814" s="87">
        <f t="shared" si="169"/>
        <v>11634.9</v>
      </c>
      <c r="N814" s="13">
        <f t="shared" si="172"/>
        <v>0</v>
      </c>
      <c r="O814" s="87">
        <f t="shared" si="170"/>
        <v>11634.9</v>
      </c>
      <c r="P814" s="13">
        <f t="shared" si="172"/>
        <v>-10</v>
      </c>
      <c r="Q814" s="87">
        <f t="shared" si="164"/>
        <v>11624.9</v>
      </c>
      <c r="R814" s="13">
        <f t="shared" si="172"/>
        <v>0</v>
      </c>
      <c r="S814" s="87">
        <f t="shared" si="163"/>
        <v>11624.9</v>
      </c>
    </row>
    <row r="815" spans="1:19" ht="71.25" customHeight="1">
      <c r="A815" s="62" t="str">
        <f ca="1">IF(ISERROR(MATCH(E815,Код_КЦСР,0)),"",INDIRECT(ADDRESS(MATCH(E815,Код_КЦСР,0)+1,2,,,"КЦСР")))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815" s="115">
        <v>805</v>
      </c>
      <c r="C815" s="8" t="s">
        <v>196</v>
      </c>
      <c r="D815" s="8" t="s">
        <v>223</v>
      </c>
      <c r="E815" s="115" t="s">
        <v>463</v>
      </c>
      <c r="F815" s="115"/>
      <c r="G815" s="70">
        <f t="shared" si="172"/>
        <v>11634.9</v>
      </c>
      <c r="H815" s="70">
        <f t="shared" si="172"/>
        <v>0</v>
      </c>
      <c r="I815" s="70">
        <f t="shared" si="168"/>
        <v>11634.9</v>
      </c>
      <c r="J815" s="70">
        <f t="shared" si="172"/>
        <v>0</v>
      </c>
      <c r="K815" s="87">
        <f t="shared" si="165"/>
        <v>11634.9</v>
      </c>
      <c r="L815" s="13">
        <f t="shared" si="172"/>
        <v>0</v>
      </c>
      <c r="M815" s="87">
        <f t="shared" si="169"/>
        <v>11634.9</v>
      </c>
      <c r="N815" s="13">
        <f t="shared" si="172"/>
        <v>0</v>
      </c>
      <c r="O815" s="87">
        <f t="shared" si="170"/>
        <v>11634.9</v>
      </c>
      <c r="P815" s="13">
        <f t="shared" si="172"/>
        <v>-10</v>
      </c>
      <c r="Q815" s="87">
        <f t="shared" si="164"/>
        <v>11624.9</v>
      </c>
      <c r="R815" s="13">
        <f t="shared" si="172"/>
        <v>0</v>
      </c>
      <c r="S815" s="87">
        <f t="shared" si="163"/>
        <v>11624.9</v>
      </c>
    </row>
    <row r="816" spans="1:19" ht="12.75">
      <c r="A816" s="62" t="str">
        <f ca="1">IF(ISERROR(MATCH(F816,Код_КВР,0)),"",INDIRECT(ADDRESS(MATCH(F816,Код_КВР,0)+1,2,,,"КВР")))</f>
        <v>Социальное обеспечение и иные выплаты населению</v>
      </c>
      <c r="B816" s="115">
        <v>805</v>
      </c>
      <c r="C816" s="8" t="s">
        <v>196</v>
      </c>
      <c r="D816" s="8" t="s">
        <v>223</v>
      </c>
      <c r="E816" s="115" t="s">
        <v>463</v>
      </c>
      <c r="F816" s="115">
        <v>300</v>
      </c>
      <c r="G816" s="70">
        <f t="shared" si="172"/>
        <v>11634.9</v>
      </c>
      <c r="H816" s="70">
        <f t="shared" si="172"/>
        <v>0</v>
      </c>
      <c r="I816" s="70">
        <f t="shared" si="168"/>
        <v>11634.9</v>
      </c>
      <c r="J816" s="70">
        <f t="shared" si="172"/>
        <v>0</v>
      </c>
      <c r="K816" s="87">
        <f t="shared" si="165"/>
        <v>11634.9</v>
      </c>
      <c r="L816" s="13">
        <f t="shared" si="172"/>
        <v>0</v>
      </c>
      <c r="M816" s="87">
        <f t="shared" si="169"/>
        <v>11634.9</v>
      </c>
      <c r="N816" s="13">
        <f t="shared" si="172"/>
        <v>0</v>
      </c>
      <c r="O816" s="87">
        <f t="shared" si="170"/>
        <v>11634.9</v>
      </c>
      <c r="P816" s="13">
        <f t="shared" si="172"/>
        <v>-10</v>
      </c>
      <c r="Q816" s="87">
        <f t="shared" si="164"/>
        <v>11624.9</v>
      </c>
      <c r="R816" s="13">
        <f t="shared" si="172"/>
        <v>0</v>
      </c>
      <c r="S816" s="87">
        <f t="shared" si="163"/>
        <v>11624.9</v>
      </c>
    </row>
    <row r="817" spans="1:19" ht="12.75">
      <c r="A817" s="62" t="str">
        <f ca="1">IF(ISERROR(MATCH(F817,Код_КВР,0)),"",INDIRECT(ADDRESS(MATCH(F817,Код_КВР,0)+1,2,,,"КВР")))</f>
        <v>Публичные нормативные социальные выплаты гражданам</v>
      </c>
      <c r="B817" s="115">
        <v>805</v>
      </c>
      <c r="C817" s="8" t="s">
        <v>196</v>
      </c>
      <c r="D817" s="8" t="s">
        <v>223</v>
      </c>
      <c r="E817" s="115" t="s">
        <v>463</v>
      </c>
      <c r="F817" s="115">
        <v>310</v>
      </c>
      <c r="G817" s="70">
        <f t="shared" si="172"/>
        <v>11634.9</v>
      </c>
      <c r="H817" s="70">
        <f t="shared" si="172"/>
        <v>0</v>
      </c>
      <c r="I817" s="70">
        <f t="shared" si="168"/>
        <v>11634.9</v>
      </c>
      <c r="J817" s="70">
        <f t="shared" si="172"/>
        <v>0</v>
      </c>
      <c r="K817" s="87">
        <f t="shared" si="165"/>
        <v>11634.9</v>
      </c>
      <c r="L817" s="13">
        <f t="shared" si="172"/>
        <v>0</v>
      </c>
      <c r="M817" s="87">
        <f t="shared" si="169"/>
        <v>11634.9</v>
      </c>
      <c r="N817" s="13">
        <f t="shared" si="172"/>
        <v>0</v>
      </c>
      <c r="O817" s="87">
        <f t="shared" si="170"/>
        <v>11634.9</v>
      </c>
      <c r="P817" s="13">
        <f t="shared" si="172"/>
        <v>-10</v>
      </c>
      <c r="Q817" s="87">
        <f t="shared" si="164"/>
        <v>11624.9</v>
      </c>
      <c r="R817" s="13">
        <f t="shared" si="172"/>
        <v>0</v>
      </c>
      <c r="S817" s="87">
        <f t="shared" si="163"/>
        <v>11624.9</v>
      </c>
    </row>
    <row r="818" spans="1:19" ht="33">
      <c r="A818" s="62" t="str">
        <f ca="1">IF(ISERROR(MATCH(F818,Код_КВР,0)),"",INDIRECT(ADDRESS(MATCH(F818,Код_КВР,0)+1,2,,,"КВР")))</f>
        <v>Пособия, компенсации, меры социальной поддержки по публичным нормативным обязательствам</v>
      </c>
      <c r="B818" s="115">
        <v>805</v>
      </c>
      <c r="C818" s="8" t="s">
        <v>196</v>
      </c>
      <c r="D818" s="8" t="s">
        <v>223</v>
      </c>
      <c r="E818" s="115" t="s">
        <v>463</v>
      </c>
      <c r="F818" s="115">
        <v>313</v>
      </c>
      <c r="G818" s="70">
        <v>11634.9</v>
      </c>
      <c r="H818" s="65"/>
      <c r="I818" s="70">
        <f t="shared" si="168"/>
        <v>11634.9</v>
      </c>
      <c r="J818" s="65"/>
      <c r="K818" s="87">
        <f t="shared" si="165"/>
        <v>11634.9</v>
      </c>
      <c r="L818" s="87"/>
      <c r="M818" s="87">
        <f t="shared" si="169"/>
        <v>11634.9</v>
      </c>
      <c r="N818" s="87"/>
      <c r="O818" s="87">
        <f t="shared" si="170"/>
        <v>11634.9</v>
      </c>
      <c r="P818" s="87">
        <v>-10</v>
      </c>
      <c r="Q818" s="87">
        <f t="shared" si="164"/>
        <v>11624.9</v>
      </c>
      <c r="R818" s="87"/>
      <c r="S818" s="87">
        <f t="shared" si="163"/>
        <v>11624.9</v>
      </c>
    </row>
    <row r="819" spans="1:19" ht="33">
      <c r="A819" s="62" t="str">
        <f ca="1">IF(ISERROR(MATCH(E819,Код_КЦСР,0)),"",INDIRECT(ADDRESS(MATCH(E819,Код_КЦСР,0)+1,2,,,"КЦСР")))</f>
        <v>Социально-педагогическая поддержка детей-сирот и детей, оставшихся без попечения родителей</v>
      </c>
      <c r="B819" s="115">
        <v>805</v>
      </c>
      <c r="C819" s="8" t="s">
        <v>196</v>
      </c>
      <c r="D819" s="8" t="s">
        <v>223</v>
      </c>
      <c r="E819" s="115" t="s">
        <v>420</v>
      </c>
      <c r="F819" s="115"/>
      <c r="G819" s="70">
        <f aca="true" t="shared" si="173" ref="G819:R821">G820</f>
        <v>4176</v>
      </c>
      <c r="H819" s="70">
        <f t="shared" si="173"/>
        <v>0</v>
      </c>
      <c r="I819" s="70">
        <f t="shared" si="168"/>
        <v>4176</v>
      </c>
      <c r="J819" s="70">
        <f t="shared" si="173"/>
        <v>0</v>
      </c>
      <c r="K819" s="87">
        <f t="shared" si="165"/>
        <v>4176</v>
      </c>
      <c r="L819" s="13">
        <f t="shared" si="173"/>
        <v>0</v>
      </c>
      <c r="M819" s="87">
        <f t="shared" si="169"/>
        <v>4176</v>
      </c>
      <c r="N819" s="13">
        <f t="shared" si="173"/>
        <v>0</v>
      </c>
      <c r="O819" s="87">
        <f t="shared" si="170"/>
        <v>4176</v>
      </c>
      <c r="P819" s="13">
        <f t="shared" si="173"/>
        <v>0</v>
      </c>
      <c r="Q819" s="87">
        <f t="shared" si="164"/>
        <v>4176</v>
      </c>
      <c r="R819" s="13">
        <f t="shared" si="173"/>
        <v>491.2</v>
      </c>
      <c r="S819" s="87">
        <f t="shared" si="163"/>
        <v>4667.2</v>
      </c>
    </row>
    <row r="820" spans="1:19" ht="66">
      <c r="A820" s="62" t="str">
        <f ca="1">IF(ISERROR(MATCH(E820,Код_КЦСР,0)),"",INDIRECT(ADDRESS(MATCH(E820,Код_КЦСР,0)+1,2,,,"КЦСР")))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820" s="115">
        <v>805</v>
      </c>
      <c r="C820" s="8" t="s">
        <v>196</v>
      </c>
      <c r="D820" s="8" t="s">
        <v>223</v>
      </c>
      <c r="E820" s="115" t="s">
        <v>422</v>
      </c>
      <c r="F820" s="115"/>
      <c r="G820" s="70">
        <f t="shared" si="173"/>
        <v>4176</v>
      </c>
      <c r="H820" s="70">
        <f t="shared" si="173"/>
        <v>0</v>
      </c>
      <c r="I820" s="70">
        <f t="shared" si="168"/>
        <v>4176</v>
      </c>
      <c r="J820" s="70">
        <f t="shared" si="173"/>
        <v>0</v>
      </c>
      <c r="K820" s="87">
        <f t="shared" si="165"/>
        <v>4176</v>
      </c>
      <c r="L820" s="13">
        <f t="shared" si="173"/>
        <v>0</v>
      </c>
      <c r="M820" s="87">
        <f t="shared" si="169"/>
        <v>4176</v>
      </c>
      <c r="N820" s="13">
        <f t="shared" si="173"/>
        <v>0</v>
      </c>
      <c r="O820" s="87">
        <f t="shared" si="170"/>
        <v>4176</v>
      </c>
      <c r="P820" s="13">
        <f t="shared" si="173"/>
        <v>0</v>
      </c>
      <c r="Q820" s="87">
        <f t="shared" si="164"/>
        <v>4176</v>
      </c>
      <c r="R820" s="13">
        <f t="shared" si="173"/>
        <v>491.2</v>
      </c>
      <c r="S820" s="87">
        <f t="shared" si="163"/>
        <v>4667.2</v>
      </c>
    </row>
    <row r="821" spans="1:19" ht="12.75">
      <c r="A821" s="62" t="str">
        <f ca="1">IF(ISERROR(MATCH(F821,Код_КВР,0)),"",INDIRECT(ADDRESS(MATCH(F821,Код_КВР,0)+1,2,,,"КВР")))</f>
        <v>Социальное обеспечение и иные выплаты населению</v>
      </c>
      <c r="B821" s="115">
        <v>805</v>
      </c>
      <c r="C821" s="8" t="s">
        <v>196</v>
      </c>
      <c r="D821" s="8" t="s">
        <v>223</v>
      </c>
      <c r="E821" s="115" t="s">
        <v>422</v>
      </c>
      <c r="F821" s="115">
        <v>300</v>
      </c>
      <c r="G821" s="70">
        <f t="shared" si="173"/>
        <v>4176</v>
      </c>
      <c r="H821" s="70">
        <f t="shared" si="173"/>
        <v>0</v>
      </c>
      <c r="I821" s="70">
        <f t="shared" si="168"/>
        <v>4176</v>
      </c>
      <c r="J821" s="70">
        <f t="shared" si="173"/>
        <v>0</v>
      </c>
      <c r="K821" s="87">
        <f t="shared" si="165"/>
        <v>4176</v>
      </c>
      <c r="L821" s="13">
        <f t="shared" si="173"/>
        <v>0</v>
      </c>
      <c r="M821" s="87">
        <f t="shared" si="169"/>
        <v>4176</v>
      </c>
      <c r="N821" s="13">
        <f t="shared" si="173"/>
        <v>0</v>
      </c>
      <c r="O821" s="87">
        <f t="shared" si="170"/>
        <v>4176</v>
      </c>
      <c r="P821" s="13">
        <f t="shared" si="173"/>
        <v>0</v>
      </c>
      <c r="Q821" s="87">
        <f t="shared" si="164"/>
        <v>4176</v>
      </c>
      <c r="R821" s="13">
        <f t="shared" si="173"/>
        <v>491.2</v>
      </c>
      <c r="S821" s="87">
        <f t="shared" si="163"/>
        <v>4667.2</v>
      </c>
    </row>
    <row r="822" spans="1:19" ht="33">
      <c r="A822" s="62" t="str">
        <f ca="1">IF(ISERROR(MATCH(F822,Код_КВР,0)),"",INDIRECT(ADDRESS(MATCH(F822,Код_КВР,0)+1,2,,,"КВР")))</f>
        <v>Социальные выплаты гражданам, кроме публичных нормативных социальных выплат</v>
      </c>
      <c r="B822" s="115">
        <v>805</v>
      </c>
      <c r="C822" s="8" t="s">
        <v>196</v>
      </c>
      <c r="D822" s="8" t="s">
        <v>223</v>
      </c>
      <c r="E822" s="115" t="s">
        <v>422</v>
      </c>
      <c r="F822" s="115">
        <v>320</v>
      </c>
      <c r="G822" s="70">
        <f>SUM(G823+G824)</f>
        <v>4176</v>
      </c>
      <c r="H822" s="70">
        <f>SUM(H823+H824)</f>
        <v>0</v>
      </c>
      <c r="I822" s="70">
        <f t="shared" si="168"/>
        <v>4176</v>
      </c>
      <c r="J822" s="70">
        <f>SUM(J823+J824)</f>
        <v>0</v>
      </c>
      <c r="K822" s="87">
        <f t="shared" si="165"/>
        <v>4176</v>
      </c>
      <c r="L822" s="13">
        <f>SUM(L823+L824)</f>
        <v>0</v>
      </c>
      <c r="M822" s="87">
        <f t="shared" si="169"/>
        <v>4176</v>
      </c>
      <c r="N822" s="13">
        <f>SUM(N823+N824)</f>
        <v>0</v>
      </c>
      <c r="O822" s="87">
        <f t="shared" si="170"/>
        <v>4176</v>
      </c>
      <c r="P822" s="13">
        <f>SUM(P823+P824)</f>
        <v>0</v>
      </c>
      <c r="Q822" s="87">
        <f t="shared" si="164"/>
        <v>4176</v>
      </c>
      <c r="R822" s="13">
        <f>SUM(R823+R824)</f>
        <v>491.2</v>
      </c>
      <c r="S822" s="87">
        <f t="shared" si="163"/>
        <v>4667.2</v>
      </c>
    </row>
    <row r="823" spans="1:19" ht="33">
      <c r="A823" s="62" t="str">
        <f ca="1">IF(ISERROR(MATCH(F823,Код_КВР,0)),"",INDIRECT(ADDRESS(MATCH(F823,Код_КВР,0)+1,2,,,"КВР")))</f>
        <v>Пособия, компенсации и иные социальные выплаты гражданам, кроме публичных нормативных обязательств</v>
      </c>
      <c r="B823" s="115">
        <v>805</v>
      </c>
      <c r="C823" s="8" t="s">
        <v>196</v>
      </c>
      <c r="D823" s="8" t="s">
        <v>223</v>
      </c>
      <c r="E823" s="115" t="s">
        <v>422</v>
      </c>
      <c r="F823" s="115">
        <v>321</v>
      </c>
      <c r="G823" s="70">
        <f>696+1200</f>
        <v>1896</v>
      </c>
      <c r="H823" s="70"/>
      <c r="I823" s="70">
        <f t="shared" si="168"/>
        <v>1896</v>
      </c>
      <c r="J823" s="70"/>
      <c r="K823" s="87">
        <f t="shared" si="165"/>
        <v>1896</v>
      </c>
      <c r="L823" s="13"/>
      <c r="M823" s="87">
        <f t="shared" si="169"/>
        <v>1896</v>
      </c>
      <c r="N823" s="13"/>
      <c r="O823" s="87">
        <f t="shared" si="170"/>
        <v>1896</v>
      </c>
      <c r="P823" s="13"/>
      <c r="Q823" s="87">
        <f t="shared" si="164"/>
        <v>1896</v>
      </c>
      <c r="R823" s="13">
        <v>491.2</v>
      </c>
      <c r="S823" s="87">
        <f aca="true" t="shared" si="174" ref="S823:S886">Q823+R823</f>
        <v>2387.2</v>
      </c>
    </row>
    <row r="824" spans="1:19" ht="33">
      <c r="A824" s="62" t="str">
        <f ca="1">IF(ISERROR(MATCH(F824,Код_КВР,0)),"",INDIRECT(ADDRESS(MATCH(F824,Код_КВР,0)+1,2,,,"КВР")))</f>
        <v>Приобретение товаров, работ, услуг в пользу граждан в целях их социального обеспечения</v>
      </c>
      <c r="B824" s="115">
        <v>805</v>
      </c>
      <c r="C824" s="8" t="s">
        <v>196</v>
      </c>
      <c r="D824" s="8" t="s">
        <v>223</v>
      </c>
      <c r="E824" s="115" t="s">
        <v>422</v>
      </c>
      <c r="F824" s="115">
        <v>323</v>
      </c>
      <c r="G824" s="70">
        <v>2280</v>
      </c>
      <c r="H824" s="70"/>
      <c r="I824" s="70">
        <f t="shared" si="168"/>
        <v>2280</v>
      </c>
      <c r="J824" s="70"/>
      <c r="K824" s="87">
        <f t="shared" si="165"/>
        <v>2280</v>
      </c>
      <c r="L824" s="13"/>
      <c r="M824" s="87">
        <f t="shared" si="169"/>
        <v>2280</v>
      </c>
      <c r="N824" s="13"/>
      <c r="O824" s="87">
        <f t="shared" si="170"/>
        <v>2280</v>
      </c>
      <c r="P824" s="13"/>
      <c r="Q824" s="87">
        <f t="shared" si="164"/>
        <v>2280</v>
      </c>
      <c r="R824" s="13"/>
      <c r="S824" s="87">
        <f t="shared" si="174"/>
        <v>2280</v>
      </c>
    </row>
    <row r="825" spans="1:19" ht="12.75">
      <c r="A825" s="78" t="s">
        <v>212</v>
      </c>
      <c r="B825" s="115">
        <v>805</v>
      </c>
      <c r="C825" s="8" t="s">
        <v>196</v>
      </c>
      <c r="D825" s="8" t="s">
        <v>224</v>
      </c>
      <c r="E825" s="115"/>
      <c r="F825" s="115"/>
      <c r="G825" s="70">
        <f>G826</f>
        <v>132317.90000000002</v>
      </c>
      <c r="H825" s="70">
        <f>H826</f>
        <v>0</v>
      </c>
      <c r="I825" s="70">
        <f t="shared" si="168"/>
        <v>132317.90000000002</v>
      </c>
      <c r="J825" s="70">
        <f>J826</f>
        <v>0</v>
      </c>
      <c r="K825" s="87">
        <f t="shared" si="165"/>
        <v>132317.90000000002</v>
      </c>
      <c r="L825" s="13">
        <f>L826</f>
        <v>0</v>
      </c>
      <c r="M825" s="87">
        <f t="shared" si="169"/>
        <v>132317.90000000002</v>
      </c>
      <c r="N825" s="13">
        <f>N826</f>
        <v>0</v>
      </c>
      <c r="O825" s="87">
        <f t="shared" si="170"/>
        <v>132317.90000000002</v>
      </c>
      <c r="P825" s="13">
        <f>P826</f>
        <v>0</v>
      </c>
      <c r="Q825" s="87">
        <f t="shared" si="164"/>
        <v>132317.90000000002</v>
      </c>
      <c r="R825" s="13">
        <f>R826</f>
        <v>0</v>
      </c>
      <c r="S825" s="87">
        <f t="shared" si="174"/>
        <v>132317.90000000002</v>
      </c>
    </row>
    <row r="826" spans="1:19" ht="12.75">
      <c r="A826" s="62" t="str">
        <f ca="1">IF(ISERROR(MATCH(E826,Код_КЦСР,0)),"",INDIRECT(ADDRESS(MATCH(E826,Код_КЦСР,0)+1,2,,,"КЦСР")))</f>
        <v>Муниципальная программа «Развитие образования» на 2013-2022 годы</v>
      </c>
      <c r="B826" s="115">
        <v>805</v>
      </c>
      <c r="C826" s="8" t="s">
        <v>196</v>
      </c>
      <c r="D826" s="8" t="s">
        <v>224</v>
      </c>
      <c r="E826" s="115" t="s">
        <v>279</v>
      </c>
      <c r="F826" s="115"/>
      <c r="G826" s="70">
        <f>G827+G832+G838</f>
        <v>132317.90000000002</v>
      </c>
      <c r="H826" s="70">
        <f>H827+H832+H838</f>
        <v>0</v>
      </c>
      <c r="I826" s="70">
        <f t="shared" si="168"/>
        <v>132317.90000000002</v>
      </c>
      <c r="J826" s="70">
        <f>J827+J832+J838</f>
        <v>0</v>
      </c>
      <c r="K826" s="87">
        <f t="shared" si="165"/>
        <v>132317.90000000002</v>
      </c>
      <c r="L826" s="13">
        <f>L827+L832+L838</f>
        <v>0</v>
      </c>
      <c r="M826" s="87">
        <f t="shared" si="169"/>
        <v>132317.90000000002</v>
      </c>
      <c r="N826" s="13">
        <f>N827+N832+N838</f>
        <v>0</v>
      </c>
      <c r="O826" s="87">
        <f t="shared" si="170"/>
        <v>132317.90000000002</v>
      </c>
      <c r="P826" s="13">
        <f>P827+P832+P838</f>
        <v>0</v>
      </c>
      <c r="Q826" s="87">
        <f t="shared" si="164"/>
        <v>132317.90000000002</v>
      </c>
      <c r="R826" s="13">
        <f>R827+R832+R838</f>
        <v>0</v>
      </c>
      <c r="S826" s="87">
        <f t="shared" si="174"/>
        <v>132317.90000000002</v>
      </c>
    </row>
    <row r="827" spans="1:19" ht="12.75">
      <c r="A827" s="62" t="str">
        <f ca="1">IF(ISERROR(MATCH(E827,Код_КЦСР,0)),"",INDIRECT(ADDRESS(MATCH(E827,Код_КЦСР,0)+1,2,,,"КЦСР")))</f>
        <v>Дошкольное образование</v>
      </c>
      <c r="B827" s="115">
        <v>805</v>
      </c>
      <c r="C827" s="8" t="s">
        <v>196</v>
      </c>
      <c r="D827" s="8" t="s">
        <v>224</v>
      </c>
      <c r="E827" s="115" t="s">
        <v>286</v>
      </c>
      <c r="F827" s="115"/>
      <c r="G827" s="70">
        <f aca="true" t="shared" si="175" ref="G827:R830">G828</f>
        <v>63969.3</v>
      </c>
      <c r="H827" s="70">
        <f t="shared" si="175"/>
        <v>0</v>
      </c>
      <c r="I827" s="70">
        <f t="shared" si="168"/>
        <v>63969.3</v>
      </c>
      <c r="J827" s="70">
        <f t="shared" si="175"/>
        <v>0</v>
      </c>
      <c r="K827" s="87">
        <f t="shared" si="165"/>
        <v>63969.3</v>
      </c>
      <c r="L827" s="13">
        <f t="shared" si="175"/>
        <v>0</v>
      </c>
      <c r="M827" s="87">
        <f t="shared" si="169"/>
        <v>63969.3</v>
      </c>
      <c r="N827" s="13">
        <f t="shared" si="175"/>
        <v>0</v>
      </c>
      <c r="O827" s="87">
        <f t="shared" si="170"/>
        <v>63969.3</v>
      </c>
      <c r="P827" s="13">
        <f t="shared" si="175"/>
        <v>0</v>
      </c>
      <c r="Q827" s="87">
        <f t="shared" si="164"/>
        <v>63969.3</v>
      </c>
      <c r="R827" s="13">
        <f t="shared" si="175"/>
        <v>0</v>
      </c>
      <c r="S827" s="87">
        <f t="shared" si="174"/>
        <v>63969.3</v>
      </c>
    </row>
    <row r="828" spans="1:19" ht="66">
      <c r="A828" s="62" t="str">
        <f ca="1">IF(ISERROR(MATCH(E828,Код_КЦСР,0)),"",INDIRECT(ADDRESS(MATCH(E828,Код_КЦСР,0)+1,2,,,"КЦСР")))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828" s="115">
        <v>805</v>
      </c>
      <c r="C828" s="8" t="s">
        <v>196</v>
      </c>
      <c r="D828" s="8" t="s">
        <v>224</v>
      </c>
      <c r="E828" s="115" t="s">
        <v>437</v>
      </c>
      <c r="F828" s="115"/>
      <c r="G828" s="70">
        <f t="shared" si="175"/>
        <v>63969.3</v>
      </c>
      <c r="H828" s="70">
        <f t="shared" si="175"/>
        <v>0</v>
      </c>
      <c r="I828" s="70">
        <f t="shared" si="168"/>
        <v>63969.3</v>
      </c>
      <c r="J828" s="70">
        <f t="shared" si="175"/>
        <v>0</v>
      </c>
      <c r="K828" s="87">
        <f t="shared" si="165"/>
        <v>63969.3</v>
      </c>
      <c r="L828" s="13">
        <f t="shared" si="175"/>
        <v>0</v>
      </c>
      <c r="M828" s="87">
        <f t="shared" si="169"/>
        <v>63969.3</v>
      </c>
      <c r="N828" s="13">
        <f t="shared" si="175"/>
        <v>0</v>
      </c>
      <c r="O828" s="87">
        <f t="shared" si="170"/>
        <v>63969.3</v>
      </c>
      <c r="P828" s="13">
        <f t="shared" si="175"/>
        <v>0</v>
      </c>
      <c r="Q828" s="87">
        <f t="shared" si="164"/>
        <v>63969.3</v>
      </c>
      <c r="R828" s="13">
        <f t="shared" si="175"/>
        <v>0</v>
      </c>
      <c r="S828" s="87">
        <f t="shared" si="174"/>
        <v>63969.3</v>
      </c>
    </row>
    <row r="829" spans="1:19" ht="12.75">
      <c r="A829" s="62" t="str">
        <f ca="1">IF(ISERROR(MATCH(F829,Код_КВР,0)),"",INDIRECT(ADDRESS(MATCH(F829,Код_КВР,0)+1,2,,,"КВР")))</f>
        <v>Социальное обеспечение и иные выплаты населению</v>
      </c>
      <c r="B829" s="115">
        <v>805</v>
      </c>
      <c r="C829" s="8" t="s">
        <v>196</v>
      </c>
      <c r="D829" s="8" t="s">
        <v>224</v>
      </c>
      <c r="E829" s="115" t="s">
        <v>437</v>
      </c>
      <c r="F829" s="115">
        <v>300</v>
      </c>
      <c r="G829" s="70">
        <f t="shared" si="175"/>
        <v>63969.3</v>
      </c>
      <c r="H829" s="70">
        <f t="shared" si="175"/>
        <v>0</v>
      </c>
      <c r="I829" s="70">
        <f t="shared" si="168"/>
        <v>63969.3</v>
      </c>
      <c r="J829" s="70">
        <f t="shared" si="175"/>
        <v>0</v>
      </c>
      <c r="K829" s="87">
        <f t="shared" si="165"/>
        <v>63969.3</v>
      </c>
      <c r="L829" s="13">
        <f t="shared" si="175"/>
        <v>0</v>
      </c>
      <c r="M829" s="87">
        <f t="shared" si="169"/>
        <v>63969.3</v>
      </c>
      <c r="N829" s="13">
        <f t="shared" si="175"/>
        <v>0</v>
      </c>
      <c r="O829" s="87">
        <f t="shared" si="170"/>
        <v>63969.3</v>
      </c>
      <c r="P829" s="13">
        <f t="shared" si="175"/>
        <v>0</v>
      </c>
      <c r="Q829" s="87">
        <f aca="true" t="shared" si="176" ref="Q829:Q892">O829+P829</f>
        <v>63969.3</v>
      </c>
      <c r="R829" s="13">
        <f t="shared" si="175"/>
        <v>0</v>
      </c>
      <c r="S829" s="87">
        <f t="shared" si="174"/>
        <v>63969.3</v>
      </c>
    </row>
    <row r="830" spans="1:19" ht="33">
      <c r="A830" s="62" t="str">
        <f ca="1">IF(ISERROR(MATCH(F830,Код_КВР,0)),"",INDIRECT(ADDRESS(MATCH(F830,Код_КВР,0)+1,2,,,"КВР")))</f>
        <v>Социальные выплаты гражданам, кроме публичных нормативных социальных выплат</v>
      </c>
      <c r="B830" s="115">
        <v>805</v>
      </c>
      <c r="C830" s="8" t="s">
        <v>196</v>
      </c>
      <c r="D830" s="8" t="s">
        <v>224</v>
      </c>
      <c r="E830" s="115" t="s">
        <v>437</v>
      </c>
      <c r="F830" s="115">
        <v>320</v>
      </c>
      <c r="G830" s="70">
        <f t="shared" si="175"/>
        <v>63969.3</v>
      </c>
      <c r="H830" s="70">
        <f t="shared" si="175"/>
        <v>0</v>
      </c>
      <c r="I830" s="70">
        <f t="shared" si="168"/>
        <v>63969.3</v>
      </c>
      <c r="J830" s="70">
        <f t="shared" si="175"/>
        <v>0</v>
      </c>
      <c r="K830" s="87">
        <f t="shared" si="165"/>
        <v>63969.3</v>
      </c>
      <c r="L830" s="13">
        <f t="shared" si="175"/>
        <v>0</v>
      </c>
      <c r="M830" s="87">
        <f t="shared" si="169"/>
        <v>63969.3</v>
      </c>
      <c r="N830" s="13">
        <f t="shared" si="175"/>
        <v>0</v>
      </c>
      <c r="O830" s="87">
        <f t="shared" si="170"/>
        <v>63969.3</v>
      </c>
      <c r="P830" s="13">
        <f t="shared" si="175"/>
        <v>0</v>
      </c>
      <c r="Q830" s="87">
        <f t="shared" si="176"/>
        <v>63969.3</v>
      </c>
      <c r="R830" s="13">
        <f t="shared" si="175"/>
        <v>0</v>
      </c>
      <c r="S830" s="87">
        <f t="shared" si="174"/>
        <v>63969.3</v>
      </c>
    </row>
    <row r="831" spans="1:19" ht="33">
      <c r="A831" s="62" t="str">
        <f ca="1">IF(ISERROR(MATCH(F831,Код_КВР,0)),"",INDIRECT(ADDRESS(MATCH(F831,Код_КВР,0)+1,2,,,"КВР")))</f>
        <v>Пособия, компенсации и иные социальные выплаты гражданам, кроме публичных нормативных обязательств</v>
      </c>
      <c r="B831" s="115">
        <v>805</v>
      </c>
      <c r="C831" s="8" t="s">
        <v>196</v>
      </c>
      <c r="D831" s="8" t="s">
        <v>224</v>
      </c>
      <c r="E831" s="115" t="s">
        <v>437</v>
      </c>
      <c r="F831" s="115">
        <v>321</v>
      </c>
      <c r="G831" s="70">
        <v>63969.3</v>
      </c>
      <c r="H831" s="70"/>
      <c r="I831" s="70">
        <f t="shared" si="168"/>
        <v>63969.3</v>
      </c>
      <c r="J831" s="70"/>
      <c r="K831" s="87">
        <f t="shared" si="165"/>
        <v>63969.3</v>
      </c>
      <c r="L831" s="13"/>
      <c r="M831" s="87">
        <f t="shared" si="169"/>
        <v>63969.3</v>
      </c>
      <c r="N831" s="13"/>
      <c r="O831" s="87">
        <f t="shared" si="170"/>
        <v>63969.3</v>
      </c>
      <c r="P831" s="13"/>
      <c r="Q831" s="87">
        <f t="shared" si="176"/>
        <v>63969.3</v>
      </c>
      <c r="R831" s="13"/>
      <c r="S831" s="87">
        <f t="shared" si="174"/>
        <v>63969.3</v>
      </c>
    </row>
    <row r="832" spans="1:19" ht="12.75">
      <c r="A832" s="62" t="str">
        <f ca="1">IF(ISERROR(MATCH(E832,Код_КЦСР,0)),"",INDIRECT(ADDRESS(MATCH(E832,Код_КЦСР,0)+1,2,,,"КЦСР")))</f>
        <v>Кадровое обеспечение муниципальной системы образования</v>
      </c>
      <c r="B832" s="115">
        <v>805</v>
      </c>
      <c r="C832" s="8" t="s">
        <v>196</v>
      </c>
      <c r="D832" s="8" t="s">
        <v>224</v>
      </c>
      <c r="E832" s="115" t="s">
        <v>299</v>
      </c>
      <c r="F832" s="115"/>
      <c r="G832" s="70">
        <f aca="true" t="shared" si="177" ref="G832:R836">G833</f>
        <v>12418.6</v>
      </c>
      <c r="H832" s="70">
        <f t="shared" si="177"/>
        <v>0</v>
      </c>
      <c r="I832" s="70">
        <f t="shared" si="168"/>
        <v>12418.6</v>
      </c>
      <c r="J832" s="70">
        <f t="shared" si="177"/>
        <v>0</v>
      </c>
      <c r="K832" s="87">
        <f t="shared" si="165"/>
        <v>12418.6</v>
      </c>
      <c r="L832" s="13">
        <f t="shared" si="177"/>
        <v>0</v>
      </c>
      <c r="M832" s="87">
        <f t="shared" si="169"/>
        <v>12418.6</v>
      </c>
      <c r="N832" s="13">
        <f t="shared" si="177"/>
        <v>0</v>
      </c>
      <c r="O832" s="87">
        <f t="shared" si="170"/>
        <v>12418.6</v>
      </c>
      <c r="P832" s="13">
        <f t="shared" si="177"/>
        <v>0</v>
      </c>
      <c r="Q832" s="87">
        <f t="shared" si="176"/>
        <v>12418.6</v>
      </c>
      <c r="R832" s="13">
        <f t="shared" si="177"/>
        <v>0</v>
      </c>
      <c r="S832" s="87">
        <f t="shared" si="174"/>
        <v>12418.6</v>
      </c>
    </row>
    <row r="833" spans="1:19" ht="33">
      <c r="A833" s="62" t="str">
        <f ca="1">IF(ISERROR(MATCH(E833,Код_КЦСР,0)),"",INDIRECT(ADDRESS(MATCH(E833,Код_КЦСР,0)+1,2,,,"КЦСР")))</f>
        <v xml:space="preserve">Осуществление денежных выплат работникам муниципальных образовательных учреждений     </v>
      </c>
      <c r="B833" s="115">
        <v>805</v>
      </c>
      <c r="C833" s="8" t="s">
        <v>196</v>
      </c>
      <c r="D833" s="8" t="s">
        <v>224</v>
      </c>
      <c r="E833" s="115" t="s">
        <v>304</v>
      </c>
      <c r="F833" s="115"/>
      <c r="G833" s="70">
        <f t="shared" si="177"/>
        <v>12418.6</v>
      </c>
      <c r="H833" s="70">
        <f t="shared" si="177"/>
        <v>0</v>
      </c>
      <c r="I833" s="70">
        <f t="shared" si="168"/>
        <v>12418.6</v>
      </c>
      <c r="J833" s="70">
        <f t="shared" si="177"/>
        <v>0</v>
      </c>
      <c r="K833" s="87">
        <f t="shared" si="165"/>
        <v>12418.6</v>
      </c>
      <c r="L833" s="13">
        <f t="shared" si="177"/>
        <v>0</v>
      </c>
      <c r="M833" s="87">
        <f t="shared" si="169"/>
        <v>12418.6</v>
      </c>
      <c r="N833" s="13">
        <f t="shared" si="177"/>
        <v>0</v>
      </c>
      <c r="O833" s="87">
        <f t="shared" si="170"/>
        <v>12418.6</v>
      </c>
      <c r="P833" s="13">
        <f t="shared" si="177"/>
        <v>0</v>
      </c>
      <c r="Q833" s="87">
        <f t="shared" si="176"/>
        <v>12418.6</v>
      </c>
      <c r="R833" s="13">
        <f t="shared" si="177"/>
        <v>0</v>
      </c>
      <c r="S833" s="87">
        <f t="shared" si="174"/>
        <v>12418.6</v>
      </c>
    </row>
    <row r="834" spans="1:19" ht="72.75" customHeight="1">
      <c r="A834" s="62" t="str">
        <f ca="1">IF(ISERROR(MATCH(E834,Код_КЦСР,0)),"",INDIRECT(ADDRESS(MATCH(E834,Код_КЦСР,0)+1,2,,,"КЦСР")))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834" s="115">
        <v>805</v>
      </c>
      <c r="C834" s="8" t="s">
        <v>196</v>
      </c>
      <c r="D834" s="8" t="s">
        <v>224</v>
      </c>
      <c r="E834" s="115" t="s">
        <v>464</v>
      </c>
      <c r="F834" s="115"/>
      <c r="G834" s="70">
        <f t="shared" si="177"/>
        <v>12418.6</v>
      </c>
      <c r="H834" s="70">
        <f t="shared" si="177"/>
        <v>0</v>
      </c>
      <c r="I834" s="70">
        <f t="shared" si="168"/>
        <v>12418.6</v>
      </c>
      <c r="J834" s="70">
        <f t="shared" si="177"/>
        <v>0</v>
      </c>
      <c r="K834" s="87">
        <f t="shared" si="165"/>
        <v>12418.6</v>
      </c>
      <c r="L834" s="13">
        <f t="shared" si="177"/>
        <v>0</v>
      </c>
      <c r="M834" s="87">
        <f t="shared" si="169"/>
        <v>12418.6</v>
      </c>
      <c r="N834" s="13">
        <f t="shared" si="177"/>
        <v>0</v>
      </c>
      <c r="O834" s="87">
        <f t="shared" si="170"/>
        <v>12418.6</v>
      </c>
      <c r="P834" s="13">
        <f t="shared" si="177"/>
        <v>0</v>
      </c>
      <c r="Q834" s="87">
        <f t="shared" si="176"/>
        <v>12418.6</v>
      </c>
      <c r="R834" s="13">
        <f t="shared" si="177"/>
        <v>0</v>
      </c>
      <c r="S834" s="87">
        <f t="shared" si="174"/>
        <v>12418.6</v>
      </c>
    </row>
    <row r="835" spans="1:19" ht="12.75">
      <c r="A835" s="62" t="str">
        <f ca="1">IF(ISERROR(MATCH(F835,Код_КВР,0)),"",INDIRECT(ADDRESS(MATCH(F835,Код_КВР,0)+1,2,,,"КВР")))</f>
        <v>Социальное обеспечение и иные выплаты населению</v>
      </c>
      <c r="B835" s="115">
        <v>805</v>
      </c>
      <c r="C835" s="8" t="s">
        <v>196</v>
      </c>
      <c r="D835" s="8" t="s">
        <v>224</v>
      </c>
      <c r="E835" s="115" t="s">
        <v>464</v>
      </c>
      <c r="F835" s="115">
        <v>300</v>
      </c>
      <c r="G835" s="70">
        <f t="shared" si="177"/>
        <v>12418.6</v>
      </c>
      <c r="H835" s="70">
        <f t="shared" si="177"/>
        <v>0</v>
      </c>
      <c r="I835" s="70">
        <f t="shared" si="168"/>
        <v>12418.6</v>
      </c>
      <c r="J835" s="70">
        <f t="shared" si="177"/>
        <v>0</v>
      </c>
      <c r="K835" s="87">
        <f aca="true" t="shared" si="178" ref="K835:K898">I835+J835</f>
        <v>12418.6</v>
      </c>
      <c r="L835" s="13">
        <f t="shared" si="177"/>
        <v>0</v>
      </c>
      <c r="M835" s="87">
        <f t="shared" si="169"/>
        <v>12418.6</v>
      </c>
      <c r="N835" s="13">
        <f t="shared" si="177"/>
        <v>0</v>
      </c>
      <c r="O835" s="87">
        <f t="shared" si="170"/>
        <v>12418.6</v>
      </c>
      <c r="P835" s="13">
        <f t="shared" si="177"/>
        <v>0</v>
      </c>
      <c r="Q835" s="87">
        <f t="shared" si="176"/>
        <v>12418.6</v>
      </c>
      <c r="R835" s="13">
        <f t="shared" si="177"/>
        <v>0</v>
      </c>
      <c r="S835" s="87">
        <f t="shared" si="174"/>
        <v>12418.6</v>
      </c>
    </row>
    <row r="836" spans="1:19" ht="12.75">
      <c r="A836" s="62" t="str">
        <f ca="1">IF(ISERROR(MATCH(F836,Код_КВР,0)),"",INDIRECT(ADDRESS(MATCH(F836,Код_КВР,0)+1,2,,,"КВР")))</f>
        <v>Публичные нормативные социальные выплаты гражданам</v>
      </c>
      <c r="B836" s="115">
        <v>805</v>
      </c>
      <c r="C836" s="8" t="s">
        <v>196</v>
      </c>
      <c r="D836" s="8" t="s">
        <v>224</v>
      </c>
      <c r="E836" s="115" t="s">
        <v>464</v>
      </c>
      <c r="F836" s="115">
        <v>310</v>
      </c>
      <c r="G836" s="70">
        <f t="shared" si="177"/>
        <v>12418.6</v>
      </c>
      <c r="H836" s="70">
        <f t="shared" si="177"/>
        <v>0</v>
      </c>
      <c r="I836" s="70">
        <f t="shared" si="168"/>
        <v>12418.6</v>
      </c>
      <c r="J836" s="70">
        <f t="shared" si="177"/>
        <v>0</v>
      </c>
      <c r="K836" s="87">
        <f t="shared" si="178"/>
        <v>12418.6</v>
      </c>
      <c r="L836" s="13">
        <f t="shared" si="177"/>
        <v>0</v>
      </c>
      <c r="M836" s="87">
        <f t="shared" si="169"/>
        <v>12418.6</v>
      </c>
      <c r="N836" s="13">
        <f t="shared" si="177"/>
        <v>0</v>
      </c>
      <c r="O836" s="87">
        <f t="shared" si="170"/>
        <v>12418.6</v>
      </c>
      <c r="P836" s="13">
        <f t="shared" si="177"/>
        <v>0</v>
      </c>
      <c r="Q836" s="87">
        <f t="shared" si="176"/>
        <v>12418.6</v>
      </c>
      <c r="R836" s="13">
        <f t="shared" si="177"/>
        <v>0</v>
      </c>
      <c r="S836" s="87">
        <f t="shared" si="174"/>
        <v>12418.6</v>
      </c>
    </row>
    <row r="837" spans="1:19" ht="33">
      <c r="A837" s="62" t="str">
        <f ca="1">IF(ISERROR(MATCH(F837,Код_КВР,0)),"",INDIRECT(ADDRESS(MATCH(F837,Код_КВР,0)+1,2,,,"КВР")))</f>
        <v>Пособия, компенсации, меры социальной поддержки по публичным нормативным обязательствам</v>
      </c>
      <c r="B837" s="115">
        <v>805</v>
      </c>
      <c r="C837" s="8" t="s">
        <v>196</v>
      </c>
      <c r="D837" s="8" t="s">
        <v>224</v>
      </c>
      <c r="E837" s="115" t="s">
        <v>464</v>
      </c>
      <c r="F837" s="115">
        <v>313</v>
      </c>
      <c r="G837" s="70">
        <v>12418.6</v>
      </c>
      <c r="H837" s="70"/>
      <c r="I837" s="70">
        <f t="shared" si="168"/>
        <v>12418.6</v>
      </c>
      <c r="J837" s="70"/>
      <c r="K837" s="87">
        <f t="shared" si="178"/>
        <v>12418.6</v>
      </c>
      <c r="L837" s="13"/>
      <c r="M837" s="87">
        <f t="shared" si="169"/>
        <v>12418.6</v>
      </c>
      <c r="N837" s="13"/>
      <c r="O837" s="87">
        <f t="shared" si="170"/>
        <v>12418.6</v>
      </c>
      <c r="P837" s="13"/>
      <c r="Q837" s="87">
        <f t="shared" si="176"/>
        <v>12418.6</v>
      </c>
      <c r="R837" s="13"/>
      <c r="S837" s="87">
        <f t="shared" si="174"/>
        <v>12418.6</v>
      </c>
    </row>
    <row r="838" spans="1:19" ht="33">
      <c r="A838" s="62" t="str">
        <f ca="1">IF(ISERROR(MATCH(E838,Код_КЦСР,0)),"",INDIRECT(ADDRESS(MATCH(E838,Код_КЦСР,0)+1,2,,,"КЦСР")))</f>
        <v>Социально-педагогическая поддержка детей-сирот и детей, оставшихся без попечения родителей</v>
      </c>
      <c r="B838" s="115">
        <v>805</v>
      </c>
      <c r="C838" s="8" t="s">
        <v>196</v>
      </c>
      <c r="D838" s="8" t="s">
        <v>224</v>
      </c>
      <c r="E838" s="115" t="s">
        <v>420</v>
      </c>
      <c r="F838" s="115"/>
      <c r="G838" s="70">
        <f aca="true" t="shared" si="179" ref="G838:R841">G839</f>
        <v>55930</v>
      </c>
      <c r="H838" s="70">
        <f t="shared" si="179"/>
        <v>0</v>
      </c>
      <c r="I838" s="70">
        <f t="shared" si="168"/>
        <v>55930</v>
      </c>
      <c r="J838" s="70">
        <f t="shared" si="179"/>
        <v>0</v>
      </c>
      <c r="K838" s="87">
        <f t="shared" si="178"/>
        <v>55930</v>
      </c>
      <c r="L838" s="13">
        <f t="shared" si="179"/>
        <v>0</v>
      </c>
      <c r="M838" s="87">
        <f t="shared" si="169"/>
        <v>55930</v>
      </c>
      <c r="N838" s="13">
        <f t="shared" si="179"/>
        <v>0</v>
      </c>
      <c r="O838" s="87">
        <f t="shared" si="170"/>
        <v>55930</v>
      </c>
      <c r="P838" s="13">
        <f t="shared" si="179"/>
        <v>0</v>
      </c>
      <c r="Q838" s="87">
        <f t="shared" si="176"/>
        <v>55930</v>
      </c>
      <c r="R838" s="13">
        <f t="shared" si="179"/>
        <v>0</v>
      </c>
      <c r="S838" s="87">
        <f t="shared" si="174"/>
        <v>55930</v>
      </c>
    </row>
    <row r="839" spans="1:19" ht="148.5">
      <c r="A839" s="62" t="str">
        <f ca="1">IF(ISERROR(MATCH(E839,Код_КЦСР,0)),"",INDIRECT(ADDRESS(MATCH(E839,Код_КЦСР,0)+1,2,,,"КЦСР")))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839" s="115">
        <v>805</v>
      </c>
      <c r="C839" s="8" t="s">
        <v>196</v>
      </c>
      <c r="D839" s="8" t="s">
        <v>224</v>
      </c>
      <c r="E839" s="115" t="s">
        <v>441</v>
      </c>
      <c r="F839" s="115"/>
      <c r="G839" s="70">
        <f t="shared" si="179"/>
        <v>55930</v>
      </c>
      <c r="H839" s="70">
        <f t="shared" si="179"/>
        <v>0</v>
      </c>
      <c r="I839" s="70">
        <f t="shared" si="168"/>
        <v>55930</v>
      </c>
      <c r="J839" s="70">
        <f t="shared" si="179"/>
        <v>0</v>
      </c>
      <c r="K839" s="87">
        <f t="shared" si="178"/>
        <v>55930</v>
      </c>
      <c r="L839" s="13">
        <f t="shared" si="179"/>
        <v>0</v>
      </c>
      <c r="M839" s="87">
        <f t="shared" si="169"/>
        <v>55930</v>
      </c>
      <c r="N839" s="13">
        <f t="shared" si="179"/>
        <v>0</v>
      </c>
      <c r="O839" s="87">
        <f t="shared" si="170"/>
        <v>55930</v>
      </c>
      <c r="P839" s="13">
        <f t="shared" si="179"/>
        <v>0</v>
      </c>
      <c r="Q839" s="87">
        <f t="shared" si="176"/>
        <v>55930</v>
      </c>
      <c r="R839" s="13">
        <f t="shared" si="179"/>
        <v>0</v>
      </c>
      <c r="S839" s="87">
        <f t="shared" si="174"/>
        <v>55930</v>
      </c>
    </row>
    <row r="840" spans="1:19" ht="12.75">
      <c r="A840" s="62" t="str">
        <f ca="1">IF(ISERROR(MATCH(F840,Код_КВР,0)),"",INDIRECT(ADDRESS(MATCH(F840,Код_КВР,0)+1,2,,,"КВР")))</f>
        <v>Социальное обеспечение и иные выплаты населению</v>
      </c>
      <c r="B840" s="115">
        <v>805</v>
      </c>
      <c r="C840" s="8" t="s">
        <v>196</v>
      </c>
      <c r="D840" s="8" t="s">
        <v>224</v>
      </c>
      <c r="E840" s="115" t="s">
        <v>441</v>
      </c>
      <c r="F840" s="115">
        <v>300</v>
      </c>
      <c r="G840" s="70">
        <f t="shared" si="179"/>
        <v>55930</v>
      </c>
      <c r="H840" s="70">
        <f t="shared" si="179"/>
        <v>0</v>
      </c>
      <c r="I840" s="70">
        <f t="shared" si="168"/>
        <v>55930</v>
      </c>
      <c r="J840" s="70">
        <f t="shared" si="179"/>
        <v>0</v>
      </c>
      <c r="K840" s="87">
        <f t="shared" si="178"/>
        <v>55930</v>
      </c>
      <c r="L840" s="13">
        <f t="shared" si="179"/>
        <v>0</v>
      </c>
      <c r="M840" s="87">
        <f t="shared" si="169"/>
        <v>55930</v>
      </c>
      <c r="N840" s="13">
        <f t="shared" si="179"/>
        <v>0</v>
      </c>
      <c r="O840" s="87">
        <f t="shared" si="170"/>
        <v>55930</v>
      </c>
      <c r="P840" s="13">
        <f t="shared" si="179"/>
        <v>0</v>
      </c>
      <c r="Q840" s="87">
        <f t="shared" si="176"/>
        <v>55930</v>
      </c>
      <c r="R840" s="13">
        <f t="shared" si="179"/>
        <v>0</v>
      </c>
      <c r="S840" s="87">
        <f t="shared" si="174"/>
        <v>55930</v>
      </c>
    </row>
    <row r="841" spans="1:19" ht="33">
      <c r="A841" s="62" t="str">
        <f ca="1">IF(ISERROR(MATCH(F841,Код_КВР,0)),"",INDIRECT(ADDRESS(MATCH(F841,Код_КВР,0)+1,2,,,"КВР")))</f>
        <v>Социальные выплаты гражданам, кроме публичных нормативных социальных выплат</v>
      </c>
      <c r="B841" s="115">
        <v>805</v>
      </c>
      <c r="C841" s="8" t="s">
        <v>196</v>
      </c>
      <c r="D841" s="8" t="s">
        <v>224</v>
      </c>
      <c r="E841" s="115" t="s">
        <v>441</v>
      </c>
      <c r="F841" s="115">
        <v>320</v>
      </c>
      <c r="G841" s="70">
        <f t="shared" si="179"/>
        <v>55930</v>
      </c>
      <c r="H841" s="70">
        <f t="shared" si="179"/>
        <v>0</v>
      </c>
      <c r="I841" s="70">
        <f t="shared" si="168"/>
        <v>55930</v>
      </c>
      <c r="J841" s="70">
        <f t="shared" si="179"/>
        <v>0</v>
      </c>
      <c r="K841" s="87">
        <f t="shared" si="178"/>
        <v>55930</v>
      </c>
      <c r="L841" s="13">
        <f t="shared" si="179"/>
        <v>0</v>
      </c>
      <c r="M841" s="87">
        <f t="shared" si="169"/>
        <v>55930</v>
      </c>
      <c r="N841" s="13">
        <f t="shared" si="179"/>
        <v>0</v>
      </c>
      <c r="O841" s="87">
        <f t="shared" si="170"/>
        <v>55930</v>
      </c>
      <c r="P841" s="13">
        <f t="shared" si="179"/>
        <v>0</v>
      </c>
      <c r="Q841" s="87">
        <f t="shared" si="176"/>
        <v>55930</v>
      </c>
      <c r="R841" s="13">
        <f t="shared" si="179"/>
        <v>0</v>
      </c>
      <c r="S841" s="87">
        <f t="shared" si="174"/>
        <v>55930</v>
      </c>
    </row>
    <row r="842" spans="1:19" ht="33">
      <c r="A842" s="62" t="str">
        <f ca="1">IF(ISERROR(MATCH(F842,Код_КВР,0)),"",INDIRECT(ADDRESS(MATCH(F842,Код_КВР,0)+1,2,,,"КВР")))</f>
        <v>Пособия, компенсации и иные социальные выплаты гражданам, кроме публичных нормативных обязательств</v>
      </c>
      <c r="B842" s="115">
        <v>805</v>
      </c>
      <c r="C842" s="8" t="s">
        <v>196</v>
      </c>
      <c r="D842" s="8" t="s">
        <v>224</v>
      </c>
      <c r="E842" s="115" t="s">
        <v>441</v>
      </c>
      <c r="F842" s="115">
        <v>321</v>
      </c>
      <c r="G842" s="70">
        <v>55930</v>
      </c>
      <c r="H842" s="70"/>
      <c r="I842" s="70">
        <f t="shared" si="168"/>
        <v>55930</v>
      </c>
      <c r="J842" s="70"/>
      <c r="K842" s="87">
        <f t="shared" si="178"/>
        <v>55930</v>
      </c>
      <c r="L842" s="13"/>
      <c r="M842" s="87">
        <f t="shared" si="169"/>
        <v>55930</v>
      </c>
      <c r="N842" s="13"/>
      <c r="O842" s="87">
        <f t="shared" si="170"/>
        <v>55930</v>
      </c>
      <c r="P842" s="13"/>
      <c r="Q842" s="87">
        <f t="shared" si="176"/>
        <v>55930</v>
      </c>
      <c r="R842" s="13"/>
      <c r="S842" s="87">
        <f t="shared" si="174"/>
        <v>55930</v>
      </c>
    </row>
    <row r="843" spans="1:19" ht="12.75">
      <c r="A843" s="62" t="str">
        <f ca="1">IF(ISERROR(MATCH(B843,Код_ППП,0)),"",INDIRECT(ADDRESS(MATCH(B843,Код_ППП,0)+1,2,,,"ППП")))</f>
        <v>ФИНАНСОВОЕ УПРАВЛЕНИЕ МЭРИИ ГОРОДА</v>
      </c>
      <c r="B843" s="115">
        <v>807</v>
      </c>
      <c r="C843" s="8"/>
      <c r="D843" s="8"/>
      <c r="E843" s="115"/>
      <c r="F843" s="115"/>
      <c r="G843" s="70">
        <f>G844+G876+G884</f>
        <v>267430.1</v>
      </c>
      <c r="H843" s="70">
        <f>H844+H876+H884</f>
        <v>-73691.9</v>
      </c>
      <c r="I843" s="70">
        <f t="shared" si="168"/>
        <v>193738.19999999998</v>
      </c>
      <c r="J843" s="70">
        <f>J844+J876+J884</f>
        <v>-50801.299999999996</v>
      </c>
      <c r="K843" s="87">
        <f t="shared" si="178"/>
        <v>142936.9</v>
      </c>
      <c r="L843" s="13">
        <f>L844+L876+L884</f>
        <v>-45726.7</v>
      </c>
      <c r="M843" s="87">
        <f t="shared" si="169"/>
        <v>97210.2</v>
      </c>
      <c r="N843" s="13">
        <f>N844+N876+N884</f>
        <v>-4163</v>
      </c>
      <c r="O843" s="87">
        <f t="shared" si="170"/>
        <v>93047.2</v>
      </c>
      <c r="P843" s="13">
        <f>P844+P876+P884</f>
        <v>0</v>
      </c>
      <c r="Q843" s="87">
        <f t="shared" si="176"/>
        <v>93047.2</v>
      </c>
      <c r="R843" s="13">
        <f>R844+R876+R884</f>
        <v>-310.0999999999999</v>
      </c>
      <c r="S843" s="87">
        <f t="shared" si="174"/>
        <v>92737.09999999999</v>
      </c>
    </row>
    <row r="844" spans="1:19" ht="12.75">
      <c r="A844" s="62" t="str">
        <f ca="1">IF(ISERROR(MATCH(C844,Код_Раздел,0)),"",INDIRECT(ADDRESS(MATCH(C844,Код_Раздел,0)+1,2,,,"Раздел")))</f>
        <v>Общегосударственные  вопросы</v>
      </c>
      <c r="B844" s="115">
        <v>807</v>
      </c>
      <c r="C844" s="8" t="s">
        <v>221</v>
      </c>
      <c r="D844" s="8"/>
      <c r="E844" s="115"/>
      <c r="F844" s="115"/>
      <c r="G844" s="70">
        <f>G845+G861+G868</f>
        <v>103836.29999999999</v>
      </c>
      <c r="H844" s="70">
        <f>H845+H861+H868</f>
        <v>-9691.9</v>
      </c>
      <c r="I844" s="70">
        <f t="shared" si="168"/>
        <v>94144.4</v>
      </c>
      <c r="J844" s="70">
        <f>J845+J861+J868</f>
        <v>-630.1</v>
      </c>
      <c r="K844" s="87">
        <f t="shared" si="178"/>
        <v>93514.29999999999</v>
      </c>
      <c r="L844" s="13">
        <f>L845+L861+L868</f>
        <v>-42706.7</v>
      </c>
      <c r="M844" s="87">
        <f t="shared" si="169"/>
        <v>50807.59999999999</v>
      </c>
      <c r="N844" s="13">
        <f>N845+N861+N868</f>
        <v>-4163</v>
      </c>
      <c r="O844" s="87">
        <f t="shared" si="170"/>
        <v>46644.59999999999</v>
      </c>
      <c r="P844" s="13">
        <f>P845+P861+P868</f>
        <v>0</v>
      </c>
      <c r="Q844" s="87">
        <f t="shared" si="176"/>
        <v>46644.59999999999</v>
      </c>
      <c r="R844" s="13">
        <f>R845+R861+R868</f>
        <v>-310.0999999999999</v>
      </c>
      <c r="S844" s="87">
        <f t="shared" si="174"/>
        <v>46334.49999999999</v>
      </c>
    </row>
    <row r="845" spans="1:19" ht="33">
      <c r="A845" s="12" t="s">
        <v>173</v>
      </c>
      <c r="B845" s="115">
        <v>807</v>
      </c>
      <c r="C845" s="8" t="s">
        <v>221</v>
      </c>
      <c r="D845" s="8" t="s">
        <v>225</v>
      </c>
      <c r="E845" s="115"/>
      <c r="F845" s="115"/>
      <c r="G845" s="70">
        <f>G846</f>
        <v>34284.99999999999</v>
      </c>
      <c r="H845" s="70">
        <f>H846</f>
        <v>0</v>
      </c>
      <c r="I845" s="70">
        <f t="shared" si="168"/>
        <v>34284.99999999999</v>
      </c>
      <c r="J845" s="70">
        <f>J846</f>
        <v>0</v>
      </c>
      <c r="K845" s="87">
        <f t="shared" si="178"/>
        <v>34284.99999999999</v>
      </c>
      <c r="L845" s="13">
        <f>L846</f>
        <v>0</v>
      </c>
      <c r="M845" s="87">
        <f t="shared" si="169"/>
        <v>34284.99999999999</v>
      </c>
      <c r="N845" s="13">
        <f>N846</f>
        <v>0</v>
      </c>
      <c r="O845" s="87">
        <f t="shared" si="170"/>
        <v>34284.99999999999</v>
      </c>
      <c r="P845" s="13">
        <f>P846</f>
        <v>0</v>
      </c>
      <c r="Q845" s="87">
        <f t="shared" si="176"/>
        <v>34284.99999999999</v>
      </c>
      <c r="R845" s="13">
        <f>R846</f>
        <v>0</v>
      </c>
      <c r="S845" s="87">
        <f t="shared" si="174"/>
        <v>34284.99999999999</v>
      </c>
    </row>
    <row r="846" spans="1:19" ht="33">
      <c r="A846" s="62" t="str">
        <f ca="1">IF(ISERROR(MATCH(E846,Код_КЦСР,0)),"",INDIRECT(ADDRESS(MATCH(E846,Код_КЦСР,0)+1,2,,,"КЦСР")))</f>
        <v>Непрограммные направления деятельности органов местного самоуправления</v>
      </c>
      <c r="B846" s="115">
        <v>807</v>
      </c>
      <c r="C846" s="8" t="s">
        <v>221</v>
      </c>
      <c r="D846" s="8" t="s">
        <v>225</v>
      </c>
      <c r="E846" s="115" t="s">
        <v>307</v>
      </c>
      <c r="F846" s="115"/>
      <c r="G846" s="70">
        <f>G847</f>
        <v>34284.99999999999</v>
      </c>
      <c r="H846" s="70">
        <f>H847</f>
        <v>0</v>
      </c>
      <c r="I846" s="70">
        <f t="shared" si="168"/>
        <v>34284.99999999999</v>
      </c>
      <c r="J846" s="70">
        <f>J847</f>
        <v>0</v>
      </c>
      <c r="K846" s="87">
        <f t="shared" si="178"/>
        <v>34284.99999999999</v>
      </c>
      <c r="L846" s="13">
        <f>L847</f>
        <v>0</v>
      </c>
      <c r="M846" s="87">
        <f t="shared" si="169"/>
        <v>34284.99999999999</v>
      </c>
      <c r="N846" s="13">
        <f>N847</f>
        <v>0</v>
      </c>
      <c r="O846" s="87">
        <f t="shared" si="170"/>
        <v>34284.99999999999</v>
      </c>
      <c r="P846" s="13">
        <f>P847</f>
        <v>0</v>
      </c>
      <c r="Q846" s="87">
        <f t="shared" si="176"/>
        <v>34284.99999999999</v>
      </c>
      <c r="R846" s="13">
        <f>R847</f>
        <v>0</v>
      </c>
      <c r="S846" s="87">
        <f t="shared" si="174"/>
        <v>34284.99999999999</v>
      </c>
    </row>
    <row r="847" spans="1:19" ht="12.75">
      <c r="A847" s="62" t="str">
        <f ca="1">IF(ISERROR(MATCH(E847,Код_КЦСР,0)),"",INDIRECT(ADDRESS(MATCH(E847,Код_КЦСР,0)+1,2,,,"КЦСР")))</f>
        <v>Расходы, не включенные в муниципальные программы города Череповца</v>
      </c>
      <c r="B847" s="115">
        <v>807</v>
      </c>
      <c r="C847" s="8" t="s">
        <v>221</v>
      </c>
      <c r="D847" s="8" t="s">
        <v>225</v>
      </c>
      <c r="E847" s="115" t="s">
        <v>309</v>
      </c>
      <c r="F847" s="115"/>
      <c r="G847" s="70">
        <f>G848+G858</f>
        <v>34284.99999999999</v>
      </c>
      <c r="H847" s="70">
        <f>H848+H858</f>
        <v>0</v>
      </c>
      <c r="I847" s="70">
        <f t="shared" si="168"/>
        <v>34284.99999999999</v>
      </c>
      <c r="J847" s="70">
        <f>J848+J858</f>
        <v>0</v>
      </c>
      <c r="K847" s="87">
        <f t="shared" si="178"/>
        <v>34284.99999999999</v>
      </c>
      <c r="L847" s="13">
        <f>L848+L858</f>
        <v>0</v>
      </c>
      <c r="M847" s="87">
        <f t="shared" si="169"/>
        <v>34284.99999999999</v>
      </c>
      <c r="N847" s="13">
        <f>N848+N858</f>
        <v>0</v>
      </c>
      <c r="O847" s="87">
        <f t="shared" si="170"/>
        <v>34284.99999999999</v>
      </c>
      <c r="P847" s="13">
        <f>P848+P858</f>
        <v>0</v>
      </c>
      <c r="Q847" s="87">
        <f t="shared" si="176"/>
        <v>34284.99999999999</v>
      </c>
      <c r="R847" s="13">
        <f>R848+R858</f>
        <v>0</v>
      </c>
      <c r="S847" s="87">
        <f t="shared" si="174"/>
        <v>34284.99999999999</v>
      </c>
    </row>
    <row r="848" spans="1:19" ht="33">
      <c r="A848" s="62" t="str">
        <f ca="1">IF(ISERROR(MATCH(E848,Код_КЦСР,0)),"",INDIRECT(ADDRESS(MATCH(E848,Код_КЦСР,0)+1,2,,,"КЦСР")))</f>
        <v>Руководство и управление в сфере установленных функций органов местного самоуправления</v>
      </c>
      <c r="B848" s="115">
        <v>807</v>
      </c>
      <c r="C848" s="8" t="s">
        <v>221</v>
      </c>
      <c r="D848" s="8" t="s">
        <v>225</v>
      </c>
      <c r="E848" s="115" t="s">
        <v>311</v>
      </c>
      <c r="F848" s="115"/>
      <c r="G848" s="70">
        <f>G849</f>
        <v>34037.299999999996</v>
      </c>
      <c r="H848" s="70">
        <f>H849</f>
        <v>0</v>
      </c>
      <c r="I848" s="70">
        <f t="shared" si="168"/>
        <v>34037.299999999996</v>
      </c>
      <c r="J848" s="70">
        <f>J849</f>
        <v>0</v>
      </c>
      <c r="K848" s="87">
        <f t="shared" si="178"/>
        <v>34037.299999999996</v>
      </c>
      <c r="L848" s="13">
        <f>L849</f>
        <v>0</v>
      </c>
      <c r="M848" s="87">
        <f t="shared" si="169"/>
        <v>34037.299999999996</v>
      </c>
      <c r="N848" s="13">
        <f>N849</f>
        <v>0</v>
      </c>
      <c r="O848" s="87">
        <f t="shared" si="170"/>
        <v>34037.299999999996</v>
      </c>
      <c r="P848" s="13">
        <f>P849</f>
        <v>0</v>
      </c>
      <c r="Q848" s="87">
        <f t="shared" si="176"/>
        <v>34037.299999999996</v>
      </c>
      <c r="R848" s="13">
        <f>R849</f>
        <v>0</v>
      </c>
      <c r="S848" s="87">
        <f t="shared" si="174"/>
        <v>34037.299999999996</v>
      </c>
    </row>
    <row r="849" spans="1:19" ht="12.75">
      <c r="A849" s="62" t="str">
        <f ca="1">IF(ISERROR(MATCH(E849,Код_КЦСР,0)),"",INDIRECT(ADDRESS(MATCH(E849,Код_КЦСР,0)+1,2,,,"КЦСР")))</f>
        <v>Центральный аппарат</v>
      </c>
      <c r="B849" s="115">
        <v>807</v>
      </c>
      <c r="C849" s="8" t="s">
        <v>221</v>
      </c>
      <c r="D849" s="8" t="s">
        <v>225</v>
      </c>
      <c r="E849" s="115" t="s">
        <v>314</v>
      </c>
      <c r="F849" s="115"/>
      <c r="G849" s="70">
        <f>G850+G852+G855</f>
        <v>34037.299999999996</v>
      </c>
      <c r="H849" s="70">
        <f>H850+H852+H855</f>
        <v>0</v>
      </c>
      <c r="I849" s="70">
        <f t="shared" si="168"/>
        <v>34037.299999999996</v>
      </c>
      <c r="J849" s="70">
        <f>J850+J852+J855</f>
        <v>0</v>
      </c>
      <c r="K849" s="87">
        <f t="shared" si="178"/>
        <v>34037.299999999996</v>
      </c>
      <c r="L849" s="13">
        <f>L850+L852+L855</f>
        <v>0</v>
      </c>
      <c r="M849" s="87">
        <f t="shared" si="169"/>
        <v>34037.299999999996</v>
      </c>
      <c r="N849" s="13">
        <f>N850+N852+N855</f>
        <v>0</v>
      </c>
      <c r="O849" s="87">
        <f t="shared" si="170"/>
        <v>34037.299999999996</v>
      </c>
      <c r="P849" s="13">
        <f>P850+P852+P855</f>
        <v>0</v>
      </c>
      <c r="Q849" s="87">
        <f t="shared" si="176"/>
        <v>34037.299999999996</v>
      </c>
      <c r="R849" s="13">
        <f>R850+R852+R855</f>
        <v>0</v>
      </c>
      <c r="S849" s="87">
        <f t="shared" si="174"/>
        <v>34037.299999999996</v>
      </c>
    </row>
    <row r="850" spans="1:19" ht="33">
      <c r="A850" s="62" t="str">
        <f aca="true" t="shared" si="180" ref="A850:A856">IF(ISERROR(MATCH(F850,Код_КВР,0)),"",INDIRECT(ADDRESS(MATCH(F850,Код_КВР,0)+1,2,,,"КВР")))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50" s="115">
        <v>807</v>
      </c>
      <c r="C850" s="8" t="s">
        <v>221</v>
      </c>
      <c r="D850" s="8" t="s">
        <v>225</v>
      </c>
      <c r="E850" s="115" t="s">
        <v>314</v>
      </c>
      <c r="F850" s="115">
        <v>100</v>
      </c>
      <c r="G850" s="70">
        <f>G851</f>
        <v>33963.1</v>
      </c>
      <c r="H850" s="70">
        <f>H851</f>
        <v>0</v>
      </c>
      <c r="I850" s="70">
        <f aca="true" t="shared" si="181" ref="I850:I927">G850+H850</f>
        <v>33963.1</v>
      </c>
      <c r="J850" s="70">
        <f>J851</f>
        <v>0</v>
      </c>
      <c r="K850" s="87">
        <f t="shared" si="178"/>
        <v>33963.1</v>
      </c>
      <c r="L850" s="13">
        <f>L851</f>
        <v>0</v>
      </c>
      <c r="M850" s="87">
        <f t="shared" si="169"/>
        <v>33963.1</v>
      </c>
      <c r="N850" s="13">
        <f>N851</f>
        <v>0</v>
      </c>
      <c r="O850" s="87">
        <f t="shared" si="170"/>
        <v>33963.1</v>
      </c>
      <c r="P850" s="13">
        <f>P851</f>
        <v>0</v>
      </c>
      <c r="Q850" s="87">
        <f t="shared" si="176"/>
        <v>33963.1</v>
      </c>
      <c r="R850" s="13">
        <f>R851</f>
        <v>0</v>
      </c>
      <c r="S850" s="87">
        <f t="shared" si="174"/>
        <v>33963.1</v>
      </c>
    </row>
    <row r="851" spans="1:19" ht="12.75">
      <c r="A851" s="62" t="str">
        <f ca="1" t="shared" si="180"/>
        <v>Расходы на выплаты персоналу муниципальных органов</v>
      </c>
      <c r="B851" s="115">
        <v>807</v>
      </c>
      <c r="C851" s="8" t="s">
        <v>221</v>
      </c>
      <c r="D851" s="8" t="s">
        <v>225</v>
      </c>
      <c r="E851" s="115" t="s">
        <v>314</v>
      </c>
      <c r="F851" s="115">
        <v>120</v>
      </c>
      <c r="G851" s="70">
        <v>33963.1</v>
      </c>
      <c r="H851" s="70"/>
      <c r="I851" s="70">
        <f t="shared" si="181"/>
        <v>33963.1</v>
      </c>
      <c r="J851" s="70"/>
      <c r="K851" s="87">
        <f t="shared" si="178"/>
        <v>33963.1</v>
      </c>
      <c r="L851" s="13"/>
      <c r="M851" s="87">
        <f t="shared" si="169"/>
        <v>33963.1</v>
      </c>
      <c r="N851" s="13"/>
      <c r="O851" s="87">
        <f t="shared" si="170"/>
        <v>33963.1</v>
      </c>
      <c r="P851" s="13"/>
      <c r="Q851" s="87">
        <f t="shared" si="176"/>
        <v>33963.1</v>
      </c>
      <c r="R851" s="13"/>
      <c r="S851" s="87">
        <f t="shared" si="174"/>
        <v>33963.1</v>
      </c>
    </row>
    <row r="852" spans="1:19" ht="12.75">
      <c r="A852" s="62" t="str">
        <f ca="1" t="shared" si="180"/>
        <v>Закупка товаров, работ и услуг для муниципальных нужд</v>
      </c>
      <c r="B852" s="115">
        <v>807</v>
      </c>
      <c r="C852" s="8" t="s">
        <v>221</v>
      </c>
      <c r="D852" s="8" t="s">
        <v>225</v>
      </c>
      <c r="E852" s="115" t="s">
        <v>314</v>
      </c>
      <c r="F852" s="115">
        <v>200</v>
      </c>
      <c r="G852" s="70">
        <f>G853</f>
        <v>72.7</v>
      </c>
      <c r="H852" s="70">
        <f>H853</f>
        <v>0</v>
      </c>
      <c r="I852" s="70">
        <f t="shared" si="181"/>
        <v>72.7</v>
      </c>
      <c r="J852" s="70">
        <f>J853</f>
        <v>0</v>
      </c>
      <c r="K852" s="87">
        <f t="shared" si="178"/>
        <v>72.7</v>
      </c>
      <c r="L852" s="13">
        <f>L853</f>
        <v>0</v>
      </c>
      <c r="M852" s="87">
        <f aca="true" t="shared" si="182" ref="M852:M923">K852+L852</f>
        <v>72.7</v>
      </c>
      <c r="N852" s="13">
        <f>N853</f>
        <v>0</v>
      </c>
      <c r="O852" s="87">
        <f aca="true" t="shared" si="183" ref="O852:O923">M852+N852</f>
        <v>72.7</v>
      </c>
      <c r="P852" s="13">
        <f>P853</f>
        <v>0</v>
      </c>
      <c r="Q852" s="87">
        <f t="shared" si="176"/>
        <v>72.7</v>
      </c>
      <c r="R852" s="13">
        <f>R853</f>
        <v>0</v>
      </c>
      <c r="S852" s="87">
        <f t="shared" si="174"/>
        <v>72.7</v>
      </c>
    </row>
    <row r="853" spans="1:19" ht="33">
      <c r="A853" s="62" t="str">
        <f ca="1" t="shared" si="180"/>
        <v>Иные закупки товаров, работ и услуг для обеспечения муниципальных нужд</v>
      </c>
      <c r="B853" s="115">
        <v>807</v>
      </c>
      <c r="C853" s="8" t="s">
        <v>221</v>
      </c>
      <c r="D853" s="8" t="s">
        <v>225</v>
      </c>
      <c r="E853" s="115" t="s">
        <v>314</v>
      </c>
      <c r="F853" s="115">
        <v>240</v>
      </c>
      <c r="G853" s="70">
        <f>G854</f>
        <v>72.7</v>
      </c>
      <c r="H853" s="70">
        <f>H854</f>
        <v>0</v>
      </c>
      <c r="I853" s="70">
        <f t="shared" si="181"/>
        <v>72.7</v>
      </c>
      <c r="J853" s="70">
        <f>J854</f>
        <v>0</v>
      </c>
      <c r="K853" s="87">
        <f t="shared" si="178"/>
        <v>72.7</v>
      </c>
      <c r="L853" s="13">
        <f>L854</f>
        <v>0</v>
      </c>
      <c r="M853" s="87">
        <f t="shared" si="182"/>
        <v>72.7</v>
      </c>
      <c r="N853" s="13">
        <f>N854</f>
        <v>0</v>
      </c>
      <c r="O853" s="87">
        <f t="shared" si="183"/>
        <v>72.7</v>
      </c>
      <c r="P853" s="13">
        <f>P854</f>
        <v>0</v>
      </c>
      <c r="Q853" s="87">
        <f t="shared" si="176"/>
        <v>72.7</v>
      </c>
      <c r="R853" s="13">
        <f>R854</f>
        <v>0</v>
      </c>
      <c r="S853" s="87">
        <f t="shared" si="174"/>
        <v>72.7</v>
      </c>
    </row>
    <row r="854" spans="1:19" ht="33">
      <c r="A854" s="62" t="str">
        <f ca="1" t="shared" si="180"/>
        <v xml:space="preserve">Прочая закупка товаров, работ и услуг для обеспечения муниципальных нужд         </v>
      </c>
      <c r="B854" s="115">
        <v>807</v>
      </c>
      <c r="C854" s="8" t="s">
        <v>221</v>
      </c>
      <c r="D854" s="8" t="s">
        <v>225</v>
      </c>
      <c r="E854" s="115" t="s">
        <v>314</v>
      </c>
      <c r="F854" s="115">
        <v>244</v>
      </c>
      <c r="G854" s="70">
        <v>72.7</v>
      </c>
      <c r="H854" s="70"/>
      <c r="I854" s="70">
        <f t="shared" si="181"/>
        <v>72.7</v>
      </c>
      <c r="J854" s="70"/>
      <c r="K854" s="87">
        <f t="shared" si="178"/>
        <v>72.7</v>
      </c>
      <c r="L854" s="13"/>
      <c r="M854" s="87">
        <f t="shared" si="182"/>
        <v>72.7</v>
      </c>
      <c r="N854" s="13"/>
      <c r="O854" s="87">
        <f t="shared" si="183"/>
        <v>72.7</v>
      </c>
      <c r="P854" s="13"/>
      <c r="Q854" s="87">
        <f t="shared" si="176"/>
        <v>72.7</v>
      </c>
      <c r="R854" s="13"/>
      <c r="S854" s="87">
        <f t="shared" si="174"/>
        <v>72.7</v>
      </c>
    </row>
    <row r="855" spans="1:19" ht="12.75">
      <c r="A855" s="62" t="str">
        <f ca="1" t="shared" si="180"/>
        <v>Иные бюджетные ассигнования</v>
      </c>
      <c r="B855" s="115">
        <v>807</v>
      </c>
      <c r="C855" s="8" t="s">
        <v>221</v>
      </c>
      <c r="D855" s="8" t="s">
        <v>225</v>
      </c>
      <c r="E855" s="115" t="s">
        <v>314</v>
      </c>
      <c r="F855" s="115">
        <v>800</v>
      </c>
      <c r="G855" s="70">
        <f>G856</f>
        <v>1.5</v>
      </c>
      <c r="H855" s="70">
        <f>H856</f>
        <v>0</v>
      </c>
      <c r="I855" s="70">
        <f t="shared" si="181"/>
        <v>1.5</v>
      </c>
      <c r="J855" s="70">
        <f>J856</f>
        <v>0</v>
      </c>
      <c r="K855" s="87">
        <f t="shared" si="178"/>
        <v>1.5</v>
      </c>
      <c r="L855" s="13">
        <f>L856</f>
        <v>0</v>
      </c>
      <c r="M855" s="87">
        <f t="shared" si="182"/>
        <v>1.5</v>
      </c>
      <c r="N855" s="13">
        <f>N856</f>
        <v>0</v>
      </c>
      <c r="O855" s="87">
        <f t="shared" si="183"/>
        <v>1.5</v>
      </c>
      <c r="P855" s="13">
        <f>P856</f>
        <v>0</v>
      </c>
      <c r="Q855" s="87">
        <f t="shared" si="176"/>
        <v>1.5</v>
      </c>
      <c r="R855" s="13">
        <f>R856</f>
        <v>0</v>
      </c>
      <c r="S855" s="87">
        <f t="shared" si="174"/>
        <v>1.5</v>
      </c>
    </row>
    <row r="856" spans="1:19" ht="12.75">
      <c r="A856" s="62" t="str">
        <f ca="1" t="shared" si="180"/>
        <v>Уплата налогов, сборов и иных платежей</v>
      </c>
      <c r="B856" s="115">
        <v>807</v>
      </c>
      <c r="C856" s="8" t="s">
        <v>221</v>
      </c>
      <c r="D856" s="8" t="s">
        <v>225</v>
      </c>
      <c r="E856" s="115" t="s">
        <v>314</v>
      </c>
      <c r="F856" s="115">
        <v>850</v>
      </c>
      <c r="G856" s="70">
        <f>G857</f>
        <v>1.5</v>
      </c>
      <c r="H856" s="70">
        <f>H857</f>
        <v>0</v>
      </c>
      <c r="I856" s="70">
        <f t="shared" si="181"/>
        <v>1.5</v>
      </c>
      <c r="J856" s="70">
        <f>J857</f>
        <v>0</v>
      </c>
      <c r="K856" s="87">
        <f t="shared" si="178"/>
        <v>1.5</v>
      </c>
      <c r="L856" s="13">
        <f>L857</f>
        <v>0</v>
      </c>
      <c r="M856" s="87">
        <f t="shared" si="182"/>
        <v>1.5</v>
      </c>
      <c r="N856" s="13">
        <f>N857</f>
        <v>0</v>
      </c>
      <c r="O856" s="87">
        <f t="shared" si="183"/>
        <v>1.5</v>
      </c>
      <c r="P856" s="13">
        <f>P857</f>
        <v>0</v>
      </c>
      <c r="Q856" s="87">
        <f t="shared" si="176"/>
        <v>1.5</v>
      </c>
      <c r="R856" s="13">
        <f>R857</f>
        <v>0</v>
      </c>
      <c r="S856" s="87">
        <f t="shared" si="174"/>
        <v>1.5</v>
      </c>
    </row>
    <row r="857" spans="1:19" ht="12.75">
      <c r="A857" s="62" t="str">
        <f ca="1">IF(ISERROR(MATCH(F857,Код_КВР,0)),"",INDIRECT(ADDRESS(MATCH(F857,Код_КВР,0)+1,2,,,"КВР")))</f>
        <v>Уплата прочих налогов, сборов и иных платежей</v>
      </c>
      <c r="B857" s="115">
        <v>807</v>
      </c>
      <c r="C857" s="8" t="s">
        <v>221</v>
      </c>
      <c r="D857" s="8" t="s">
        <v>225</v>
      </c>
      <c r="E857" s="115" t="s">
        <v>314</v>
      </c>
      <c r="F857" s="115">
        <v>852</v>
      </c>
      <c r="G857" s="70">
        <v>1.5</v>
      </c>
      <c r="H857" s="70"/>
      <c r="I857" s="70">
        <f t="shared" si="181"/>
        <v>1.5</v>
      </c>
      <c r="J857" s="70"/>
      <c r="K857" s="87">
        <f t="shared" si="178"/>
        <v>1.5</v>
      </c>
      <c r="L857" s="13"/>
      <c r="M857" s="87">
        <f t="shared" si="182"/>
        <v>1.5</v>
      </c>
      <c r="N857" s="13"/>
      <c r="O857" s="87">
        <f t="shared" si="183"/>
        <v>1.5</v>
      </c>
      <c r="P857" s="13"/>
      <c r="Q857" s="87">
        <f t="shared" si="176"/>
        <v>1.5</v>
      </c>
      <c r="R857" s="13"/>
      <c r="S857" s="87">
        <f t="shared" si="174"/>
        <v>1.5</v>
      </c>
    </row>
    <row r="858" spans="1:19" ht="99.75" customHeight="1">
      <c r="A858" s="62" t="str">
        <f ca="1">IF(ISERROR(MATCH(E858,Код_КЦСР,0)),"",INDIRECT(ADDRESS(MATCH(E858,Код_КЦСР,0)+1,2,,,"КЦСР")))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858" s="115">
        <v>807</v>
      </c>
      <c r="C858" s="8" t="s">
        <v>221</v>
      </c>
      <c r="D858" s="8" t="s">
        <v>225</v>
      </c>
      <c r="E858" s="115" t="s">
        <v>400</v>
      </c>
      <c r="F858" s="115"/>
      <c r="G858" s="70">
        <f>G859</f>
        <v>247.7</v>
      </c>
      <c r="H858" s="70">
        <f>H859</f>
        <v>0</v>
      </c>
      <c r="I858" s="70">
        <f t="shared" si="181"/>
        <v>247.7</v>
      </c>
      <c r="J858" s="70">
        <f>J859</f>
        <v>0</v>
      </c>
      <c r="K858" s="87">
        <f t="shared" si="178"/>
        <v>247.7</v>
      </c>
      <c r="L858" s="13">
        <f>L859</f>
        <v>0</v>
      </c>
      <c r="M858" s="87">
        <f t="shared" si="182"/>
        <v>247.7</v>
      </c>
      <c r="N858" s="13">
        <f>N859</f>
        <v>0</v>
      </c>
      <c r="O858" s="87">
        <f t="shared" si="183"/>
        <v>247.7</v>
      </c>
      <c r="P858" s="13">
        <f>P859</f>
        <v>0</v>
      </c>
      <c r="Q858" s="87">
        <f t="shared" si="176"/>
        <v>247.7</v>
      </c>
      <c r="R858" s="13">
        <f>R859</f>
        <v>0</v>
      </c>
      <c r="S858" s="87">
        <f t="shared" si="174"/>
        <v>247.7</v>
      </c>
    </row>
    <row r="859" spans="1:19" ht="33">
      <c r="A859" s="62" t="str">
        <f ca="1">IF(ISERROR(MATCH(F859,Код_КВР,0)),"",INDIRECT(ADDRESS(MATCH(F859,Код_КВР,0)+1,2,,,"КВР")))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59" s="115">
        <v>807</v>
      </c>
      <c r="C859" s="8" t="s">
        <v>221</v>
      </c>
      <c r="D859" s="8" t="s">
        <v>225</v>
      </c>
      <c r="E859" s="115" t="s">
        <v>400</v>
      </c>
      <c r="F859" s="115">
        <v>100</v>
      </c>
      <c r="G859" s="70">
        <f>G860</f>
        <v>247.7</v>
      </c>
      <c r="H859" s="70">
        <f>H860</f>
        <v>0</v>
      </c>
      <c r="I859" s="70">
        <f t="shared" si="181"/>
        <v>247.7</v>
      </c>
      <c r="J859" s="70">
        <f>J860</f>
        <v>0</v>
      </c>
      <c r="K859" s="87">
        <f t="shared" si="178"/>
        <v>247.7</v>
      </c>
      <c r="L859" s="13">
        <f>L860</f>
        <v>0</v>
      </c>
      <c r="M859" s="87">
        <f t="shared" si="182"/>
        <v>247.7</v>
      </c>
      <c r="N859" s="13">
        <f>N860</f>
        <v>0</v>
      </c>
      <c r="O859" s="87">
        <f t="shared" si="183"/>
        <v>247.7</v>
      </c>
      <c r="P859" s="13">
        <f>P860</f>
        <v>0</v>
      </c>
      <c r="Q859" s="87">
        <f t="shared" si="176"/>
        <v>247.7</v>
      </c>
      <c r="R859" s="13">
        <f>R860</f>
        <v>0</v>
      </c>
      <c r="S859" s="87">
        <f t="shared" si="174"/>
        <v>247.7</v>
      </c>
    </row>
    <row r="860" spans="1:19" ht="12.75">
      <c r="A860" s="62" t="str">
        <f ca="1">IF(ISERROR(MATCH(F860,Код_КВР,0)),"",INDIRECT(ADDRESS(MATCH(F860,Код_КВР,0)+1,2,,,"КВР")))</f>
        <v>Расходы на выплаты персоналу муниципальных органов</v>
      </c>
      <c r="B860" s="115">
        <v>807</v>
      </c>
      <c r="C860" s="8" t="s">
        <v>221</v>
      </c>
      <c r="D860" s="8" t="s">
        <v>225</v>
      </c>
      <c r="E860" s="115" t="s">
        <v>400</v>
      </c>
      <c r="F860" s="115">
        <v>120</v>
      </c>
      <c r="G860" s="70">
        <v>247.7</v>
      </c>
      <c r="H860" s="70"/>
      <c r="I860" s="70">
        <f t="shared" si="181"/>
        <v>247.7</v>
      </c>
      <c r="J860" s="70"/>
      <c r="K860" s="87">
        <f t="shared" si="178"/>
        <v>247.7</v>
      </c>
      <c r="L860" s="13"/>
      <c r="M860" s="87">
        <f t="shared" si="182"/>
        <v>247.7</v>
      </c>
      <c r="N860" s="13"/>
      <c r="O860" s="87">
        <f t="shared" si="183"/>
        <v>247.7</v>
      </c>
      <c r="P860" s="13"/>
      <c r="Q860" s="87">
        <f t="shared" si="176"/>
        <v>247.7</v>
      </c>
      <c r="R860" s="13"/>
      <c r="S860" s="87">
        <f t="shared" si="174"/>
        <v>247.7</v>
      </c>
    </row>
    <row r="861" spans="1:19" ht="12.75">
      <c r="A861" s="12" t="s">
        <v>208</v>
      </c>
      <c r="B861" s="115">
        <v>807</v>
      </c>
      <c r="C861" s="8" t="s">
        <v>221</v>
      </c>
      <c r="D861" s="8" t="s">
        <v>232</v>
      </c>
      <c r="E861" s="115"/>
      <c r="F861" s="115"/>
      <c r="G861" s="70">
        <f aca="true" t="shared" si="184" ref="G861:R866">G862</f>
        <v>69251.3</v>
      </c>
      <c r="H861" s="70">
        <f t="shared" si="184"/>
        <v>-9691.9</v>
      </c>
      <c r="I861" s="70">
        <f t="shared" si="181"/>
        <v>59559.4</v>
      </c>
      <c r="J861" s="70">
        <f t="shared" si="184"/>
        <v>-630.1</v>
      </c>
      <c r="K861" s="87">
        <f t="shared" si="178"/>
        <v>58929.3</v>
      </c>
      <c r="L861" s="13">
        <f t="shared" si="184"/>
        <v>-42706.7</v>
      </c>
      <c r="M861" s="87">
        <f t="shared" si="182"/>
        <v>16222.600000000006</v>
      </c>
      <c r="N861" s="13">
        <f t="shared" si="184"/>
        <v>-4163</v>
      </c>
      <c r="O861" s="87">
        <f t="shared" si="183"/>
        <v>12059.600000000006</v>
      </c>
      <c r="P861" s="13">
        <f t="shared" si="184"/>
        <v>0</v>
      </c>
      <c r="Q861" s="87">
        <f t="shared" si="176"/>
        <v>12059.600000000006</v>
      </c>
      <c r="R861" s="13">
        <f t="shared" si="184"/>
        <v>-310.0999999999999</v>
      </c>
      <c r="S861" s="87">
        <f t="shared" si="174"/>
        <v>11749.500000000005</v>
      </c>
    </row>
    <row r="862" spans="1:19" ht="33">
      <c r="A862" s="62" t="str">
        <f ca="1">IF(ISERROR(MATCH(E862,Код_КЦСР,0)),"",INDIRECT(ADDRESS(MATCH(E862,Код_КЦСР,0)+1,2,,,"КЦСР")))</f>
        <v>Непрограммные направления деятельности органов местного самоуправления</v>
      </c>
      <c r="B862" s="115">
        <v>807</v>
      </c>
      <c r="C862" s="8" t="s">
        <v>221</v>
      </c>
      <c r="D862" s="8" t="s">
        <v>232</v>
      </c>
      <c r="E862" s="115" t="s">
        <v>307</v>
      </c>
      <c r="F862" s="115"/>
      <c r="G862" s="70">
        <f t="shared" si="184"/>
        <v>69251.3</v>
      </c>
      <c r="H862" s="70">
        <f t="shared" si="184"/>
        <v>-9691.9</v>
      </c>
      <c r="I862" s="70">
        <f t="shared" si="181"/>
        <v>59559.4</v>
      </c>
      <c r="J862" s="70">
        <f t="shared" si="184"/>
        <v>-630.1</v>
      </c>
      <c r="K862" s="87">
        <f t="shared" si="178"/>
        <v>58929.3</v>
      </c>
      <c r="L862" s="13">
        <f t="shared" si="184"/>
        <v>-42706.7</v>
      </c>
      <c r="M862" s="87">
        <f t="shared" si="182"/>
        <v>16222.600000000006</v>
      </c>
      <c r="N862" s="13">
        <f t="shared" si="184"/>
        <v>-4163</v>
      </c>
      <c r="O862" s="87">
        <f t="shared" si="183"/>
        <v>12059.600000000006</v>
      </c>
      <c r="P862" s="13">
        <f t="shared" si="184"/>
        <v>0</v>
      </c>
      <c r="Q862" s="87">
        <f t="shared" si="176"/>
        <v>12059.600000000006</v>
      </c>
      <c r="R862" s="13">
        <f t="shared" si="184"/>
        <v>-310.0999999999999</v>
      </c>
      <c r="S862" s="87">
        <f t="shared" si="174"/>
        <v>11749.500000000005</v>
      </c>
    </row>
    <row r="863" spans="1:19" ht="12.75">
      <c r="A863" s="62" t="str">
        <f ca="1">IF(ISERROR(MATCH(E863,Код_КЦСР,0)),"",INDIRECT(ADDRESS(MATCH(E863,Код_КЦСР,0)+1,2,,,"КЦСР")))</f>
        <v>Расходы, не включенные в муниципальные программы города Череповца</v>
      </c>
      <c r="B863" s="115">
        <v>807</v>
      </c>
      <c r="C863" s="8" t="s">
        <v>221</v>
      </c>
      <c r="D863" s="8" t="s">
        <v>232</v>
      </c>
      <c r="E863" s="115" t="s">
        <v>309</v>
      </c>
      <c r="F863" s="115"/>
      <c r="G863" s="70">
        <f t="shared" si="184"/>
        <v>69251.3</v>
      </c>
      <c r="H863" s="70">
        <f t="shared" si="184"/>
        <v>-9691.9</v>
      </c>
      <c r="I863" s="70">
        <f t="shared" si="181"/>
        <v>59559.4</v>
      </c>
      <c r="J863" s="70">
        <f t="shared" si="184"/>
        <v>-630.1</v>
      </c>
      <c r="K863" s="87">
        <f t="shared" si="178"/>
        <v>58929.3</v>
      </c>
      <c r="L863" s="13">
        <f t="shared" si="184"/>
        <v>-42706.7</v>
      </c>
      <c r="M863" s="87">
        <f t="shared" si="182"/>
        <v>16222.600000000006</v>
      </c>
      <c r="N863" s="13">
        <f t="shared" si="184"/>
        <v>-4163</v>
      </c>
      <c r="O863" s="87">
        <f t="shared" si="183"/>
        <v>12059.600000000006</v>
      </c>
      <c r="P863" s="13">
        <f t="shared" si="184"/>
        <v>0</v>
      </c>
      <c r="Q863" s="87">
        <f t="shared" si="176"/>
        <v>12059.600000000006</v>
      </c>
      <c r="R863" s="13">
        <f t="shared" si="184"/>
        <v>-310.0999999999999</v>
      </c>
      <c r="S863" s="87">
        <f t="shared" si="174"/>
        <v>11749.500000000005</v>
      </c>
    </row>
    <row r="864" spans="1:19" ht="12.75">
      <c r="A864" s="62" t="str">
        <f ca="1">IF(ISERROR(MATCH(E864,Код_КЦСР,0)),"",INDIRECT(ADDRESS(MATCH(E864,Код_КЦСР,0)+1,2,,,"КЦСР")))</f>
        <v>Резервные фонды</v>
      </c>
      <c r="B864" s="115">
        <v>807</v>
      </c>
      <c r="C864" s="8" t="s">
        <v>221</v>
      </c>
      <c r="D864" s="8" t="s">
        <v>232</v>
      </c>
      <c r="E864" s="115" t="s">
        <v>450</v>
      </c>
      <c r="F864" s="115"/>
      <c r="G864" s="70">
        <f t="shared" si="184"/>
        <v>69251.3</v>
      </c>
      <c r="H864" s="70">
        <f t="shared" si="184"/>
        <v>-9691.9</v>
      </c>
      <c r="I864" s="70">
        <f t="shared" si="181"/>
        <v>59559.4</v>
      </c>
      <c r="J864" s="70">
        <f t="shared" si="184"/>
        <v>-630.1</v>
      </c>
      <c r="K864" s="87">
        <f t="shared" si="178"/>
        <v>58929.3</v>
      </c>
      <c r="L864" s="13">
        <f t="shared" si="184"/>
        <v>-42706.7</v>
      </c>
      <c r="M864" s="87">
        <f t="shared" si="182"/>
        <v>16222.600000000006</v>
      </c>
      <c r="N864" s="13">
        <f t="shared" si="184"/>
        <v>-4163</v>
      </c>
      <c r="O864" s="87">
        <f t="shared" si="183"/>
        <v>12059.600000000006</v>
      </c>
      <c r="P864" s="13">
        <f t="shared" si="184"/>
        <v>0</v>
      </c>
      <c r="Q864" s="87">
        <f t="shared" si="176"/>
        <v>12059.600000000006</v>
      </c>
      <c r="R864" s="13">
        <f t="shared" si="184"/>
        <v>-310.0999999999999</v>
      </c>
      <c r="S864" s="87">
        <f t="shared" si="174"/>
        <v>11749.500000000005</v>
      </c>
    </row>
    <row r="865" spans="1:19" ht="12.75">
      <c r="A865" s="62" t="str">
        <f ca="1">IF(ISERROR(MATCH(E865,Код_КЦСР,0)),"",INDIRECT(ADDRESS(MATCH(E865,Код_КЦСР,0)+1,2,,,"КЦСР")))</f>
        <v>Резервные фонды мэрии города</v>
      </c>
      <c r="B865" s="115">
        <v>807</v>
      </c>
      <c r="C865" s="8" t="s">
        <v>221</v>
      </c>
      <c r="D865" s="8" t="s">
        <v>232</v>
      </c>
      <c r="E865" s="115" t="s">
        <v>451</v>
      </c>
      <c r="F865" s="115"/>
      <c r="G865" s="70">
        <f t="shared" si="184"/>
        <v>69251.3</v>
      </c>
      <c r="H865" s="70">
        <f t="shared" si="184"/>
        <v>-9691.9</v>
      </c>
      <c r="I865" s="70">
        <f t="shared" si="181"/>
        <v>59559.4</v>
      </c>
      <c r="J865" s="70">
        <f t="shared" si="184"/>
        <v>-630.1</v>
      </c>
      <c r="K865" s="87">
        <f t="shared" si="178"/>
        <v>58929.3</v>
      </c>
      <c r="L865" s="13">
        <f t="shared" si="184"/>
        <v>-42706.7</v>
      </c>
      <c r="M865" s="87">
        <f t="shared" si="182"/>
        <v>16222.600000000006</v>
      </c>
      <c r="N865" s="13">
        <f t="shared" si="184"/>
        <v>-4163</v>
      </c>
      <c r="O865" s="87">
        <f t="shared" si="183"/>
        <v>12059.600000000006</v>
      </c>
      <c r="P865" s="13">
        <f t="shared" si="184"/>
        <v>0</v>
      </c>
      <c r="Q865" s="87">
        <f t="shared" si="176"/>
        <v>12059.600000000006</v>
      </c>
      <c r="R865" s="13">
        <f t="shared" si="184"/>
        <v>-310.0999999999999</v>
      </c>
      <c r="S865" s="87">
        <f t="shared" si="174"/>
        <v>11749.500000000005</v>
      </c>
    </row>
    <row r="866" spans="1:19" ht="12.75">
      <c r="A866" s="62" t="str">
        <f ca="1">IF(ISERROR(MATCH(F866,Код_КВР,0)),"",INDIRECT(ADDRESS(MATCH(F866,Код_КВР,0)+1,2,,,"КВР")))</f>
        <v>Иные бюджетные ассигнования</v>
      </c>
      <c r="B866" s="115">
        <v>807</v>
      </c>
      <c r="C866" s="8" t="s">
        <v>221</v>
      </c>
      <c r="D866" s="8" t="s">
        <v>232</v>
      </c>
      <c r="E866" s="115" t="s">
        <v>451</v>
      </c>
      <c r="F866" s="115">
        <v>800</v>
      </c>
      <c r="G866" s="70">
        <f t="shared" si="184"/>
        <v>69251.3</v>
      </c>
      <c r="H866" s="70">
        <f t="shared" si="184"/>
        <v>-9691.9</v>
      </c>
      <c r="I866" s="70">
        <f t="shared" si="181"/>
        <v>59559.4</v>
      </c>
      <c r="J866" s="70">
        <f t="shared" si="184"/>
        <v>-630.1</v>
      </c>
      <c r="K866" s="87">
        <f t="shared" si="178"/>
        <v>58929.3</v>
      </c>
      <c r="L866" s="13">
        <f t="shared" si="184"/>
        <v>-42706.7</v>
      </c>
      <c r="M866" s="87">
        <f t="shared" si="182"/>
        <v>16222.600000000006</v>
      </c>
      <c r="N866" s="13">
        <f t="shared" si="184"/>
        <v>-4163</v>
      </c>
      <c r="O866" s="87">
        <f t="shared" si="183"/>
        <v>12059.600000000006</v>
      </c>
      <c r="P866" s="13">
        <f t="shared" si="184"/>
        <v>0</v>
      </c>
      <c r="Q866" s="87">
        <f t="shared" si="176"/>
        <v>12059.600000000006</v>
      </c>
      <c r="R866" s="13">
        <f t="shared" si="184"/>
        <v>-310.0999999999999</v>
      </c>
      <c r="S866" s="87">
        <f t="shared" si="174"/>
        <v>11749.500000000005</v>
      </c>
    </row>
    <row r="867" spans="1:19" ht="12.75">
      <c r="A867" s="62" t="str">
        <f ca="1">IF(ISERROR(MATCH(F867,Код_КВР,0)),"",INDIRECT(ADDRESS(MATCH(F867,Код_КВР,0)+1,2,,,"КВР")))</f>
        <v>Резервные средства</v>
      </c>
      <c r="B867" s="115">
        <v>807</v>
      </c>
      <c r="C867" s="8" t="s">
        <v>221</v>
      </c>
      <c r="D867" s="8" t="s">
        <v>232</v>
      </c>
      <c r="E867" s="115" t="s">
        <v>451</v>
      </c>
      <c r="F867" s="115">
        <v>870</v>
      </c>
      <c r="G867" s="70">
        <f>106472.7-363.9-35000-1857.5</f>
        <v>69251.3</v>
      </c>
      <c r="H867" s="70">
        <f>-8478.6-1213.3</f>
        <v>-9691.9</v>
      </c>
      <c r="I867" s="70">
        <f t="shared" si="181"/>
        <v>59559.4</v>
      </c>
      <c r="J867" s="70">
        <f>-504.7-134+8.6</f>
        <v>-630.1</v>
      </c>
      <c r="K867" s="87">
        <f t="shared" si="178"/>
        <v>58929.3</v>
      </c>
      <c r="L867" s="13">
        <v>-42706.7</v>
      </c>
      <c r="M867" s="87">
        <f t="shared" si="182"/>
        <v>16222.600000000006</v>
      </c>
      <c r="N867" s="13">
        <f>-3091-1072</f>
        <v>-4163</v>
      </c>
      <c r="O867" s="87">
        <f t="shared" si="183"/>
        <v>12059.600000000006</v>
      </c>
      <c r="P867" s="13"/>
      <c r="Q867" s="87">
        <f t="shared" si="176"/>
        <v>12059.600000000006</v>
      </c>
      <c r="R867" s="13">
        <f>36.2+653.7-1000</f>
        <v>-310.0999999999999</v>
      </c>
      <c r="S867" s="87">
        <f t="shared" si="174"/>
        <v>11749.500000000005</v>
      </c>
    </row>
    <row r="868" spans="1:19" ht="12.75">
      <c r="A868" s="12" t="s">
        <v>245</v>
      </c>
      <c r="B868" s="115">
        <v>807</v>
      </c>
      <c r="C868" s="8" t="s">
        <v>221</v>
      </c>
      <c r="D868" s="8" t="s">
        <v>198</v>
      </c>
      <c r="E868" s="115"/>
      <c r="F868" s="115"/>
      <c r="G868" s="70">
        <f aca="true" t="shared" si="185" ref="G868:R874">G869</f>
        <v>300</v>
      </c>
      <c r="H868" s="70">
        <f t="shared" si="185"/>
        <v>0</v>
      </c>
      <c r="I868" s="70">
        <f t="shared" si="181"/>
        <v>300</v>
      </c>
      <c r="J868" s="70">
        <f t="shared" si="185"/>
        <v>0</v>
      </c>
      <c r="K868" s="87">
        <f t="shared" si="178"/>
        <v>300</v>
      </c>
      <c r="L868" s="13">
        <f t="shared" si="185"/>
        <v>0</v>
      </c>
      <c r="M868" s="87">
        <f t="shared" si="182"/>
        <v>300</v>
      </c>
      <c r="N868" s="13">
        <f t="shared" si="185"/>
        <v>0</v>
      </c>
      <c r="O868" s="87">
        <f t="shared" si="183"/>
        <v>300</v>
      </c>
      <c r="P868" s="13">
        <f t="shared" si="185"/>
        <v>0</v>
      </c>
      <c r="Q868" s="87">
        <f t="shared" si="176"/>
        <v>300</v>
      </c>
      <c r="R868" s="13">
        <f t="shared" si="185"/>
        <v>0</v>
      </c>
      <c r="S868" s="87">
        <f t="shared" si="174"/>
        <v>300</v>
      </c>
    </row>
    <row r="869" spans="1:19" ht="33">
      <c r="A869" s="62" t="str">
        <f ca="1">IF(ISERROR(MATCH(E869,Код_КЦСР,0)),"",INDIRECT(ADDRESS(MATCH(E869,Код_КЦСР,0)+1,2,,,"КЦСР")))</f>
        <v>Непрограммные направления деятельности органов местного самоуправления</v>
      </c>
      <c r="B869" s="115">
        <v>807</v>
      </c>
      <c r="C869" s="8" t="s">
        <v>221</v>
      </c>
      <c r="D869" s="8" t="s">
        <v>198</v>
      </c>
      <c r="E869" s="115" t="s">
        <v>307</v>
      </c>
      <c r="F869" s="115"/>
      <c r="G869" s="70">
        <f t="shared" si="185"/>
        <v>300</v>
      </c>
      <c r="H869" s="70">
        <f t="shared" si="185"/>
        <v>0</v>
      </c>
      <c r="I869" s="70">
        <f t="shared" si="181"/>
        <v>300</v>
      </c>
      <c r="J869" s="70">
        <f t="shared" si="185"/>
        <v>0</v>
      </c>
      <c r="K869" s="87">
        <f t="shared" si="178"/>
        <v>300</v>
      </c>
      <c r="L869" s="13">
        <f t="shared" si="185"/>
        <v>0</v>
      </c>
      <c r="M869" s="87">
        <f t="shared" si="182"/>
        <v>300</v>
      </c>
      <c r="N869" s="13">
        <f t="shared" si="185"/>
        <v>0</v>
      </c>
      <c r="O869" s="87">
        <f t="shared" si="183"/>
        <v>300</v>
      </c>
      <c r="P869" s="13">
        <f t="shared" si="185"/>
        <v>0</v>
      </c>
      <c r="Q869" s="87">
        <f t="shared" si="176"/>
        <v>300</v>
      </c>
      <c r="R869" s="13">
        <f t="shared" si="185"/>
        <v>0</v>
      </c>
      <c r="S869" s="87">
        <f t="shared" si="174"/>
        <v>300</v>
      </c>
    </row>
    <row r="870" spans="1:19" ht="12.75">
      <c r="A870" s="62" t="str">
        <f ca="1">IF(ISERROR(MATCH(E870,Код_КЦСР,0)),"",INDIRECT(ADDRESS(MATCH(E870,Код_КЦСР,0)+1,2,,,"КЦСР")))</f>
        <v>Расходы, не включенные в муниципальные программы города Череповца</v>
      </c>
      <c r="B870" s="115">
        <v>807</v>
      </c>
      <c r="C870" s="8" t="s">
        <v>221</v>
      </c>
      <c r="D870" s="8" t="s">
        <v>198</v>
      </c>
      <c r="E870" s="115" t="s">
        <v>309</v>
      </c>
      <c r="F870" s="115"/>
      <c r="G870" s="70">
        <f t="shared" si="185"/>
        <v>300</v>
      </c>
      <c r="H870" s="70">
        <f t="shared" si="185"/>
        <v>0</v>
      </c>
      <c r="I870" s="70">
        <f t="shared" si="181"/>
        <v>300</v>
      </c>
      <c r="J870" s="70">
        <f t="shared" si="185"/>
        <v>0</v>
      </c>
      <c r="K870" s="87">
        <f t="shared" si="178"/>
        <v>300</v>
      </c>
      <c r="L870" s="13">
        <f t="shared" si="185"/>
        <v>0</v>
      </c>
      <c r="M870" s="87">
        <f t="shared" si="182"/>
        <v>300</v>
      </c>
      <c r="N870" s="13">
        <f t="shared" si="185"/>
        <v>0</v>
      </c>
      <c r="O870" s="87">
        <f t="shared" si="183"/>
        <v>300</v>
      </c>
      <c r="P870" s="13">
        <f t="shared" si="185"/>
        <v>0</v>
      </c>
      <c r="Q870" s="87">
        <f t="shared" si="176"/>
        <v>300</v>
      </c>
      <c r="R870" s="13">
        <f t="shared" si="185"/>
        <v>0</v>
      </c>
      <c r="S870" s="87">
        <f t="shared" si="174"/>
        <v>300</v>
      </c>
    </row>
    <row r="871" spans="1:19" ht="33">
      <c r="A871" s="62" t="str">
        <f ca="1">IF(ISERROR(MATCH(E871,Код_КЦСР,0)),"",INDIRECT(ADDRESS(MATCH(E871,Код_КЦСР,0)+1,2,,,"КЦСР")))</f>
        <v>Реализация функций органов местного самоуправления города, связанных с общегородским управлением</v>
      </c>
      <c r="B871" s="115">
        <v>807</v>
      </c>
      <c r="C871" s="8" t="s">
        <v>221</v>
      </c>
      <c r="D871" s="8" t="s">
        <v>198</v>
      </c>
      <c r="E871" s="115" t="s">
        <v>317</v>
      </c>
      <c r="F871" s="115"/>
      <c r="G871" s="70">
        <f t="shared" si="185"/>
        <v>300</v>
      </c>
      <c r="H871" s="70">
        <f t="shared" si="185"/>
        <v>0</v>
      </c>
      <c r="I871" s="70">
        <f t="shared" si="181"/>
        <v>300</v>
      </c>
      <c r="J871" s="70">
        <f t="shared" si="185"/>
        <v>0</v>
      </c>
      <c r="K871" s="87">
        <f t="shared" si="178"/>
        <v>300</v>
      </c>
      <c r="L871" s="13">
        <f t="shared" si="185"/>
        <v>0</v>
      </c>
      <c r="M871" s="87">
        <f t="shared" si="182"/>
        <v>300</v>
      </c>
      <c r="N871" s="13">
        <f t="shared" si="185"/>
        <v>0</v>
      </c>
      <c r="O871" s="87">
        <f t="shared" si="183"/>
        <v>300</v>
      </c>
      <c r="P871" s="13">
        <f t="shared" si="185"/>
        <v>0</v>
      </c>
      <c r="Q871" s="87">
        <f t="shared" si="176"/>
        <v>300</v>
      </c>
      <c r="R871" s="13">
        <f t="shared" si="185"/>
        <v>0</v>
      </c>
      <c r="S871" s="87">
        <f t="shared" si="174"/>
        <v>300</v>
      </c>
    </row>
    <row r="872" spans="1:19" ht="12.75">
      <c r="A872" s="62" t="str">
        <f ca="1">IF(ISERROR(MATCH(E872,Код_КЦСР,0)),"",INDIRECT(ADDRESS(MATCH(E872,Код_КЦСР,0)+1,2,,,"КЦСР")))</f>
        <v>Расходы на судебные издержки и исполнение судебных решений</v>
      </c>
      <c r="B872" s="115">
        <v>807</v>
      </c>
      <c r="C872" s="8" t="s">
        <v>221</v>
      </c>
      <c r="D872" s="8" t="s">
        <v>198</v>
      </c>
      <c r="E872" s="115" t="s">
        <v>319</v>
      </c>
      <c r="F872" s="115"/>
      <c r="G872" s="70">
        <f t="shared" si="185"/>
        <v>300</v>
      </c>
      <c r="H872" s="70">
        <f t="shared" si="185"/>
        <v>0</v>
      </c>
      <c r="I872" s="70">
        <f t="shared" si="181"/>
        <v>300</v>
      </c>
      <c r="J872" s="70">
        <f t="shared" si="185"/>
        <v>0</v>
      </c>
      <c r="K872" s="87">
        <f t="shared" si="178"/>
        <v>300</v>
      </c>
      <c r="L872" s="13">
        <f t="shared" si="185"/>
        <v>0</v>
      </c>
      <c r="M872" s="87">
        <f t="shared" si="182"/>
        <v>300</v>
      </c>
      <c r="N872" s="13">
        <f t="shared" si="185"/>
        <v>0</v>
      </c>
      <c r="O872" s="87">
        <f t="shared" si="183"/>
        <v>300</v>
      </c>
      <c r="P872" s="13">
        <f t="shared" si="185"/>
        <v>0</v>
      </c>
      <c r="Q872" s="87">
        <f t="shared" si="176"/>
        <v>300</v>
      </c>
      <c r="R872" s="13">
        <f t="shared" si="185"/>
        <v>0</v>
      </c>
      <c r="S872" s="87">
        <f t="shared" si="174"/>
        <v>300</v>
      </c>
    </row>
    <row r="873" spans="1:19" ht="12.75">
      <c r="A873" s="62" t="str">
        <f ca="1">IF(ISERROR(MATCH(F873,Код_КВР,0)),"",INDIRECT(ADDRESS(MATCH(F873,Код_КВР,0)+1,2,,,"КВР")))</f>
        <v>Иные бюджетные ассигнования</v>
      </c>
      <c r="B873" s="115">
        <v>807</v>
      </c>
      <c r="C873" s="8" t="s">
        <v>221</v>
      </c>
      <c r="D873" s="8" t="s">
        <v>198</v>
      </c>
      <c r="E873" s="115" t="s">
        <v>319</v>
      </c>
      <c r="F873" s="115">
        <v>800</v>
      </c>
      <c r="G873" s="70">
        <f t="shared" si="185"/>
        <v>300</v>
      </c>
      <c r="H873" s="70">
        <f t="shared" si="185"/>
        <v>0</v>
      </c>
      <c r="I873" s="70">
        <f t="shared" si="181"/>
        <v>300</v>
      </c>
      <c r="J873" s="70">
        <f t="shared" si="185"/>
        <v>0</v>
      </c>
      <c r="K873" s="87">
        <f t="shared" si="178"/>
        <v>300</v>
      </c>
      <c r="L873" s="13">
        <f t="shared" si="185"/>
        <v>0</v>
      </c>
      <c r="M873" s="87">
        <f t="shared" si="182"/>
        <v>300</v>
      </c>
      <c r="N873" s="13">
        <f t="shared" si="185"/>
        <v>0</v>
      </c>
      <c r="O873" s="87">
        <f t="shared" si="183"/>
        <v>300</v>
      </c>
      <c r="P873" s="13">
        <f t="shared" si="185"/>
        <v>0</v>
      </c>
      <c r="Q873" s="87">
        <f t="shared" si="176"/>
        <v>300</v>
      </c>
      <c r="R873" s="13">
        <f t="shared" si="185"/>
        <v>0</v>
      </c>
      <c r="S873" s="87">
        <f t="shared" si="174"/>
        <v>300</v>
      </c>
    </row>
    <row r="874" spans="1:19" ht="12.75">
      <c r="A874" s="62" t="str">
        <f ca="1">IF(ISERROR(MATCH(F874,Код_КВР,0)),"",INDIRECT(ADDRESS(MATCH(F874,Код_КВР,0)+1,2,,,"КВР")))</f>
        <v>Исполнение судебных актов</v>
      </c>
      <c r="B874" s="115">
        <v>807</v>
      </c>
      <c r="C874" s="8" t="s">
        <v>221</v>
      </c>
      <c r="D874" s="8" t="s">
        <v>198</v>
      </c>
      <c r="E874" s="115" t="s">
        <v>319</v>
      </c>
      <c r="F874" s="115">
        <v>830</v>
      </c>
      <c r="G874" s="70">
        <f t="shared" si="185"/>
        <v>300</v>
      </c>
      <c r="H874" s="70">
        <f t="shared" si="185"/>
        <v>0</v>
      </c>
      <c r="I874" s="70">
        <f t="shared" si="181"/>
        <v>300</v>
      </c>
      <c r="J874" s="70">
        <f t="shared" si="185"/>
        <v>0</v>
      </c>
      <c r="K874" s="87">
        <f t="shared" si="178"/>
        <v>300</v>
      </c>
      <c r="L874" s="13">
        <f t="shared" si="185"/>
        <v>0</v>
      </c>
      <c r="M874" s="87">
        <f t="shared" si="182"/>
        <v>300</v>
      </c>
      <c r="N874" s="13">
        <f t="shared" si="185"/>
        <v>0</v>
      </c>
      <c r="O874" s="87">
        <f t="shared" si="183"/>
        <v>300</v>
      </c>
      <c r="P874" s="13">
        <f t="shared" si="185"/>
        <v>0</v>
      </c>
      <c r="Q874" s="87">
        <f t="shared" si="176"/>
        <v>300</v>
      </c>
      <c r="R874" s="13">
        <f t="shared" si="185"/>
        <v>0</v>
      </c>
      <c r="S874" s="87">
        <f t="shared" si="174"/>
        <v>300</v>
      </c>
    </row>
    <row r="875" spans="1:19" ht="69.75" customHeight="1">
      <c r="A875" s="62" t="str">
        <f ca="1">IF(ISERROR(MATCH(F875,Код_КВР,0)),"",INDIRECT(ADDRESS(MATCH(F875,Код_КВР,0)+1,2,,,"КВР")))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875" s="115">
        <v>807</v>
      </c>
      <c r="C875" s="8" t="s">
        <v>221</v>
      </c>
      <c r="D875" s="8" t="s">
        <v>198</v>
      </c>
      <c r="E875" s="115" t="s">
        <v>319</v>
      </c>
      <c r="F875" s="115">
        <v>831</v>
      </c>
      <c r="G875" s="70">
        <v>300</v>
      </c>
      <c r="H875" s="70"/>
      <c r="I875" s="70">
        <f t="shared" si="181"/>
        <v>300</v>
      </c>
      <c r="J875" s="70"/>
      <c r="K875" s="87">
        <f t="shared" si="178"/>
        <v>300</v>
      </c>
      <c r="L875" s="13"/>
      <c r="M875" s="87">
        <f t="shared" si="182"/>
        <v>300</v>
      </c>
      <c r="N875" s="13"/>
      <c r="O875" s="87">
        <f t="shared" si="183"/>
        <v>300</v>
      </c>
      <c r="P875" s="13"/>
      <c r="Q875" s="87">
        <f t="shared" si="176"/>
        <v>300</v>
      </c>
      <c r="R875" s="13"/>
      <c r="S875" s="87">
        <f t="shared" si="174"/>
        <v>300</v>
      </c>
    </row>
    <row r="876" spans="1:19" ht="12.75">
      <c r="A876" s="62" t="str">
        <f ca="1">IF(ISERROR(MATCH(C876,Код_Раздел,0)),"",INDIRECT(ADDRESS(MATCH(C876,Код_Раздел,0)+1,2,,,"Раздел")))</f>
        <v>Национальная экономика</v>
      </c>
      <c r="B876" s="115">
        <v>807</v>
      </c>
      <c r="C876" s="8" t="s">
        <v>224</v>
      </c>
      <c r="D876" s="8"/>
      <c r="E876" s="115"/>
      <c r="F876" s="115"/>
      <c r="G876" s="70">
        <f aca="true" t="shared" si="186" ref="G876:R881">G877</f>
        <v>117199.6</v>
      </c>
      <c r="H876" s="70">
        <f t="shared" si="186"/>
        <v>-64000</v>
      </c>
      <c r="I876" s="70">
        <f t="shared" si="181"/>
        <v>53199.600000000006</v>
      </c>
      <c r="J876" s="70">
        <f t="shared" si="186"/>
        <v>-50171.2</v>
      </c>
      <c r="K876" s="87">
        <f t="shared" si="178"/>
        <v>3028.4000000000087</v>
      </c>
      <c r="L876" s="13">
        <f t="shared" si="186"/>
        <v>-3020</v>
      </c>
      <c r="M876" s="87">
        <f t="shared" si="182"/>
        <v>8.400000000008731</v>
      </c>
      <c r="N876" s="13">
        <f t="shared" si="186"/>
        <v>0</v>
      </c>
      <c r="O876" s="87">
        <f t="shared" si="183"/>
        <v>8.400000000008731</v>
      </c>
      <c r="P876" s="13">
        <f t="shared" si="186"/>
        <v>0</v>
      </c>
      <c r="Q876" s="87">
        <f t="shared" si="176"/>
        <v>8.400000000008731</v>
      </c>
      <c r="R876" s="13">
        <f t="shared" si="186"/>
        <v>0</v>
      </c>
      <c r="S876" s="87">
        <f t="shared" si="174"/>
        <v>8.400000000008731</v>
      </c>
    </row>
    <row r="877" spans="1:19" ht="21" customHeight="1">
      <c r="A877" s="12" t="s">
        <v>231</v>
      </c>
      <c r="B877" s="115">
        <v>807</v>
      </c>
      <c r="C877" s="8" t="s">
        <v>224</v>
      </c>
      <c r="D877" s="8" t="s">
        <v>204</v>
      </c>
      <c r="E877" s="115"/>
      <c r="F877" s="115"/>
      <c r="G877" s="70">
        <f t="shared" si="186"/>
        <v>117199.6</v>
      </c>
      <c r="H877" s="70">
        <f t="shared" si="186"/>
        <v>-64000</v>
      </c>
      <c r="I877" s="70">
        <f t="shared" si="181"/>
        <v>53199.600000000006</v>
      </c>
      <c r="J877" s="70">
        <f t="shared" si="186"/>
        <v>-50171.2</v>
      </c>
      <c r="K877" s="87">
        <f t="shared" si="178"/>
        <v>3028.4000000000087</v>
      </c>
      <c r="L877" s="13">
        <f t="shared" si="186"/>
        <v>-3020</v>
      </c>
      <c r="M877" s="87">
        <f t="shared" si="182"/>
        <v>8.400000000008731</v>
      </c>
      <c r="N877" s="13">
        <f t="shared" si="186"/>
        <v>0</v>
      </c>
      <c r="O877" s="87">
        <f t="shared" si="183"/>
        <v>8.400000000008731</v>
      </c>
      <c r="P877" s="13">
        <f t="shared" si="186"/>
        <v>0</v>
      </c>
      <c r="Q877" s="87">
        <f t="shared" si="176"/>
        <v>8.400000000008731</v>
      </c>
      <c r="R877" s="13">
        <f t="shared" si="186"/>
        <v>0</v>
      </c>
      <c r="S877" s="87">
        <f t="shared" si="174"/>
        <v>8.400000000008731</v>
      </c>
    </row>
    <row r="878" spans="1:19" ht="33">
      <c r="A878" s="62" t="str">
        <f ca="1">IF(ISERROR(MATCH(E878,Код_КЦСР,0)),"",INDIRECT(ADDRESS(MATCH(E878,Код_КЦСР,0)+1,2,,,"КЦСР")))</f>
        <v>Непрограммные направления деятельности органов местного самоуправления</v>
      </c>
      <c r="B878" s="115">
        <v>807</v>
      </c>
      <c r="C878" s="8" t="s">
        <v>224</v>
      </c>
      <c r="D878" s="8" t="s">
        <v>204</v>
      </c>
      <c r="E878" s="115" t="s">
        <v>307</v>
      </c>
      <c r="F878" s="115"/>
      <c r="G878" s="70">
        <f t="shared" si="186"/>
        <v>117199.6</v>
      </c>
      <c r="H878" s="70">
        <f t="shared" si="186"/>
        <v>-64000</v>
      </c>
      <c r="I878" s="70">
        <f t="shared" si="181"/>
        <v>53199.600000000006</v>
      </c>
      <c r="J878" s="70">
        <f t="shared" si="186"/>
        <v>-50171.2</v>
      </c>
      <c r="K878" s="87">
        <f t="shared" si="178"/>
        <v>3028.4000000000087</v>
      </c>
      <c r="L878" s="13">
        <f t="shared" si="186"/>
        <v>-3020</v>
      </c>
      <c r="M878" s="87">
        <f t="shared" si="182"/>
        <v>8.400000000008731</v>
      </c>
      <c r="N878" s="13">
        <f t="shared" si="186"/>
        <v>0</v>
      </c>
      <c r="O878" s="87">
        <f t="shared" si="183"/>
        <v>8.400000000008731</v>
      </c>
      <c r="P878" s="13">
        <f t="shared" si="186"/>
        <v>0</v>
      </c>
      <c r="Q878" s="87">
        <f t="shared" si="176"/>
        <v>8.400000000008731</v>
      </c>
      <c r="R878" s="13">
        <f t="shared" si="186"/>
        <v>0</v>
      </c>
      <c r="S878" s="87">
        <f t="shared" si="174"/>
        <v>8.400000000008731</v>
      </c>
    </row>
    <row r="879" spans="1:19" ht="22.5" customHeight="1">
      <c r="A879" s="62" t="str">
        <f ca="1">IF(ISERROR(MATCH(E879,Код_КЦСР,0)),"",INDIRECT(ADDRESS(MATCH(E879,Код_КЦСР,0)+1,2,,,"КЦСР")))</f>
        <v>Расходы, не включенные в муниципальные программы города Череповца</v>
      </c>
      <c r="B879" s="115">
        <v>807</v>
      </c>
      <c r="C879" s="8" t="s">
        <v>224</v>
      </c>
      <c r="D879" s="8" t="s">
        <v>204</v>
      </c>
      <c r="E879" s="115" t="s">
        <v>309</v>
      </c>
      <c r="F879" s="115"/>
      <c r="G879" s="70">
        <f t="shared" si="186"/>
        <v>117199.6</v>
      </c>
      <c r="H879" s="70">
        <f t="shared" si="186"/>
        <v>-64000</v>
      </c>
      <c r="I879" s="70">
        <f t="shared" si="181"/>
        <v>53199.600000000006</v>
      </c>
      <c r="J879" s="70">
        <f t="shared" si="186"/>
        <v>-50171.2</v>
      </c>
      <c r="K879" s="87">
        <f t="shared" si="178"/>
        <v>3028.4000000000087</v>
      </c>
      <c r="L879" s="13">
        <f t="shared" si="186"/>
        <v>-3020</v>
      </c>
      <c r="M879" s="87">
        <f t="shared" si="182"/>
        <v>8.400000000008731</v>
      </c>
      <c r="N879" s="13">
        <f t="shared" si="186"/>
        <v>0</v>
      </c>
      <c r="O879" s="87">
        <f t="shared" si="183"/>
        <v>8.400000000008731</v>
      </c>
      <c r="P879" s="13">
        <f t="shared" si="186"/>
        <v>0</v>
      </c>
      <c r="Q879" s="87">
        <f t="shared" si="176"/>
        <v>8.400000000008731</v>
      </c>
      <c r="R879" s="13">
        <f t="shared" si="186"/>
        <v>0</v>
      </c>
      <c r="S879" s="87">
        <f t="shared" si="174"/>
        <v>8.400000000008731</v>
      </c>
    </row>
    <row r="880" spans="1:19" ht="19.5" customHeight="1">
      <c r="A880" s="62" t="str">
        <f ca="1">IF(ISERROR(MATCH(E880,Код_КЦСР,0)),"",INDIRECT(ADDRESS(MATCH(E880,Код_КЦСР,0)+1,2,,,"КЦСР")))</f>
        <v>Кредиторская задолженность, сложившаяся по итогам 2013 года</v>
      </c>
      <c r="B880" s="115">
        <v>807</v>
      </c>
      <c r="C880" s="8" t="s">
        <v>224</v>
      </c>
      <c r="D880" s="8" t="s">
        <v>204</v>
      </c>
      <c r="E880" s="115" t="s">
        <v>379</v>
      </c>
      <c r="F880" s="115"/>
      <c r="G880" s="70">
        <f t="shared" si="186"/>
        <v>117199.6</v>
      </c>
      <c r="H880" s="70">
        <f t="shared" si="186"/>
        <v>-64000</v>
      </c>
      <c r="I880" s="70">
        <f t="shared" si="181"/>
        <v>53199.600000000006</v>
      </c>
      <c r="J880" s="70">
        <f t="shared" si="186"/>
        <v>-50171.2</v>
      </c>
      <c r="K880" s="87">
        <f t="shared" si="178"/>
        <v>3028.4000000000087</v>
      </c>
      <c r="L880" s="13">
        <f t="shared" si="186"/>
        <v>-3020</v>
      </c>
      <c r="M880" s="87">
        <f t="shared" si="182"/>
        <v>8.400000000008731</v>
      </c>
      <c r="N880" s="13">
        <f t="shared" si="186"/>
        <v>0</v>
      </c>
      <c r="O880" s="87">
        <f t="shared" si="183"/>
        <v>8.400000000008731</v>
      </c>
      <c r="P880" s="13">
        <f t="shared" si="186"/>
        <v>0</v>
      </c>
      <c r="Q880" s="87">
        <f t="shared" si="176"/>
        <v>8.400000000008731</v>
      </c>
      <c r="R880" s="13">
        <f t="shared" si="186"/>
        <v>0</v>
      </c>
      <c r="S880" s="87">
        <f t="shared" si="174"/>
        <v>8.400000000008731</v>
      </c>
    </row>
    <row r="881" spans="1:19" ht="17.25" customHeight="1">
      <c r="A881" s="62" t="str">
        <f ca="1">IF(ISERROR(MATCH(F881,Код_КВР,0)),"",INDIRECT(ADDRESS(MATCH(F881,Код_КВР,0)+1,2,,,"КВР")))</f>
        <v>Закупка товаров, работ и услуг для муниципальных нужд</v>
      </c>
      <c r="B881" s="115">
        <v>807</v>
      </c>
      <c r="C881" s="8" t="s">
        <v>224</v>
      </c>
      <c r="D881" s="8" t="s">
        <v>204</v>
      </c>
      <c r="E881" s="115" t="s">
        <v>379</v>
      </c>
      <c r="F881" s="115">
        <v>200</v>
      </c>
      <c r="G881" s="70">
        <f t="shared" si="186"/>
        <v>117199.6</v>
      </c>
      <c r="H881" s="70">
        <f t="shared" si="186"/>
        <v>-64000</v>
      </c>
      <c r="I881" s="70">
        <f t="shared" si="181"/>
        <v>53199.600000000006</v>
      </c>
      <c r="J881" s="70">
        <f t="shared" si="186"/>
        <v>-50171.2</v>
      </c>
      <c r="K881" s="87">
        <f t="shared" si="178"/>
        <v>3028.4000000000087</v>
      </c>
      <c r="L881" s="13">
        <f t="shared" si="186"/>
        <v>-3020</v>
      </c>
      <c r="M881" s="87">
        <f t="shared" si="182"/>
        <v>8.400000000008731</v>
      </c>
      <c r="N881" s="13">
        <f t="shared" si="186"/>
        <v>0</v>
      </c>
      <c r="O881" s="87">
        <f t="shared" si="183"/>
        <v>8.400000000008731</v>
      </c>
      <c r="P881" s="13">
        <f t="shared" si="186"/>
        <v>0</v>
      </c>
      <c r="Q881" s="87">
        <f t="shared" si="176"/>
        <v>8.400000000008731</v>
      </c>
      <c r="R881" s="13">
        <f t="shared" si="186"/>
        <v>0</v>
      </c>
      <c r="S881" s="87">
        <f t="shared" si="174"/>
        <v>8.400000000008731</v>
      </c>
    </row>
    <row r="882" spans="1:19" ht="33">
      <c r="A882" s="62" t="str">
        <f ca="1">IF(ISERROR(MATCH(F882,Код_КВР,0)),"",INDIRECT(ADDRESS(MATCH(F882,Код_КВР,0)+1,2,,,"КВР")))</f>
        <v>Иные закупки товаров, работ и услуг для обеспечения муниципальных нужд</v>
      </c>
      <c r="B882" s="115">
        <v>807</v>
      </c>
      <c r="C882" s="8" t="s">
        <v>224</v>
      </c>
      <c r="D882" s="8" t="s">
        <v>204</v>
      </c>
      <c r="E882" s="115" t="s">
        <v>379</v>
      </c>
      <c r="F882" s="115">
        <v>240</v>
      </c>
      <c r="G882" s="70">
        <f>G883</f>
        <v>117199.6</v>
      </c>
      <c r="H882" s="70">
        <f>H883</f>
        <v>-64000</v>
      </c>
      <c r="I882" s="70">
        <f t="shared" si="181"/>
        <v>53199.600000000006</v>
      </c>
      <c r="J882" s="70">
        <f>J883</f>
        <v>-50171.2</v>
      </c>
      <c r="K882" s="87">
        <f t="shared" si="178"/>
        <v>3028.4000000000087</v>
      </c>
      <c r="L882" s="13">
        <f>L883</f>
        <v>-3020</v>
      </c>
      <c r="M882" s="87">
        <f t="shared" si="182"/>
        <v>8.400000000008731</v>
      </c>
      <c r="N882" s="13">
        <f>N883</f>
        <v>0</v>
      </c>
      <c r="O882" s="87">
        <f t="shared" si="183"/>
        <v>8.400000000008731</v>
      </c>
      <c r="P882" s="13">
        <f>P883</f>
        <v>0</v>
      </c>
      <c r="Q882" s="87">
        <f t="shared" si="176"/>
        <v>8.400000000008731</v>
      </c>
      <c r="R882" s="13">
        <f>R883</f>
        <v>0</v>
      </c>
      <c r="S882" s="87">
        <f t="shared" si="174"/>
        <v>8.400000000008731</v>
      </c>
    </row>
    <row r="883" spans="1:19" ht="33">
      <c r="A883" s="62" t="str">
        <f ca="1">IF(ISERROR(MATCH(F883,Код_КВР,0)),"",INDIRECT(ADDRESS(MATCH(F883,Код_КВР,0)+1,2,,,"КВР")))</f>
        <v xml:space="preserve">Прочая закупка товаров, работ и услуг для обеспечения муниципальных нужд         </v>
      </c>
      <c r="B883" s="115">
        <v>807</v>
      </c>
      <c r="C883" s="8" t="s">
        <v>224</v>
      </c>
      <c r="D883" s="8" t="s">
        <v>204</v>
      </c>
      <c r="E883" s="115" t="s">
        <v>379</v>
      </c>
      <c r="F883" s="115">
        <v>244</v>
      </c>
      <c r="G883" s="70">
        <v>117199.6</v>
      </c>
      <c r="H883" s="70">
        <v>-64000</v>
      </c>
      <c r="I883" s="70">
        <f t="shared" si="181"/>
        <v>53199.600000000006</v>
      </c>
      <c r="J883" s="70">
        <f>-52847.5+2746-69-0.7</f>
        <v>-50171.2</v>
      </c>
      <c r="K883" s="87">
        <f t="shared" si="178"/>
        <v>3028.4000000000087</v>
      </c>
      <c r="L883" s="13">
        <v>-3020</v>
      </c>
      <c r="M883" s="87">
        <f t="shared" si="182"/>
        <v>8.400000000008731</v>
      </c>
      <c r="N883" s="13"/>
      <c r="O883" s="87">
        <f t="shared" si="183"/>
        <v>8.400000000008731</v>
      </c>
      <c r="P883" s="13"/>
      <c r="Q883" s="87">
        <f t="shared" si="176"/>
        <v>8.400000000008731</v>
      </c>
      <c r="R883" s="13"/>
      <c r="S883" s="87">
        <f t="shared" si="174"/>
        <v>8.400000000008731</v>
      </c>
    </row>
    <row r="884" spans="1:19" ht="12.75">
      <c r="A884" s="62" t="str">
        <f ca="1">IF(ISERROR(MATCH(C884,Код_Раздел,0)),"",INDIRECT(ADDRESS(MATCH(C884,Код_Раздел,0)+1,2,,,"Раздел")))</f>
        <v>Обслуживание государственного и муниципального долга</v>
      </c>
      <c r="B884" s="115">
        <v>807</v>
      </c>
      <c r="C884" s="8" t="s">
        <v>198</v>
      </c>
      <c r="D884" s="8"/>
      <c r="E884" s="115"/>
      <c r="F884" s="115"/>
      <c r="G884" s="70">
        <f aca="true" t="shared" si="187" ref="G884:R890">G885</f>
        <v>46394.2</v>
      </c>
      <c r="H884" s="70">
        <f t="shared" si="187"/>
        <v>0</v>
      </c>
      <c r="I884" s="70">
        <f t="shared" si="181"/>
        <v>46394.2</v>
      </c>
      <c r="J884" s="70">
        <f t="shared" si="187"/>
        <v>0</v>
      </c>
      <c r="K884" s="87">
        <f t="shared" si="178"/>
        <v>46394.2</v>
      </c>
      <c r="L884" s="13">
        <f t="shared" si="187"/>
        <v>0</v>
      </c>
      <c r="M884" s="87">
        <f t="shared" si="182"/>
        <v>46394.2</v>
      </c>
      <c r="N884" s="13">
        <f t="shared" si="187"/>
        <v>0</v>
      </c>
      <c r="O884" s="87">
        <f t="shared" si="183"/>
        <v>46394.2</v>
      </c>
      <c r="P884" s="13">
        <f t="shared" si="187"/>
        <v>0</v>
      </c>
      <c r="Q884" s="87">
        <f t="shared" si="176"/>
        <v>46394.2</v>
      </c>
      <c r="R884" s="13">
        <f t="shared" si="187"/>
        <v>0</v>
      </c>
      <c r="S884" s="87">
        <f t="shared" si="174"/>
        <v>46394.2</v>
      </c>
    </row>
    <row r="885" spans="1:19" ht="12.75">
      <c r="A885" s="12" t="s">
        <v>269</v>
      </c>
      <c r="B885" s="115">
        <v>807</v>
      </c>
      <c r="C885" s="8" t="s">
        <v>198</v>
      </c>
      <c r="D885" s="8" t="s">
        <v>221</v>
      </c>
      <c r="E885" s="115"/>
      <c r="F885" s="115"/>
      <c r="G885" s="70">
        <f t="shared" si="187"/>
        <v>46394.2</v>
      </c>
      <c r="H885" s="70">
        <f t="shared" si="187"/>
        <v>0</v>
      </c>
      <c r="I885" s="70">
        <f t="shared" si="181"/>
        <v>46394.2</v>
      </c>
      <c r="J885" s="70">
        <f t="shared" si="187"/>
        <v>0</v>
      </c>
      <c r="K885" s="87">
        <f t="shared" si="178"/>
        <v>46394.2</v>
      </c>
      <c r="L885" s="13">
        <f t="shared" si="187"/>
        <v>0</v>
      </c>
      <c r="M885" s="87">
        <f t="shared" si="182"/>
        <v>46394.2</v>
      </c>
      <c r="N885" s="13">
        <f t="shared" si="187"/>
        <v>0</v>
      </c>
      <c r="O885" s="87">
        <f t="shared" si="183"/>
        <v>46394.2</v>
      </c>
      <c r="P885" s="13">
        <f t="shared" si="187"/>
        <v>0</v>
      </c>
      <c r="Q885" s="87">
        <f t="shared" si="176"/>
        <v>46394.2</v>
      </c>
      <c r="R885" s="13">
        <f t="shared" si="187"/>
        <v>0</v>
      </c>
      <c r="S885" s="87">
        <f t="shared" si="174"/>
        <v>46394.2</v>
      </c>
    </row>
    <row r="886" spans="1:19" ht="33">
      <c r="A886" s="62" t="str">
        <f ca="1">IF(ISERROR(MATCH(E886,Код_КЦСР,0)),"",INDIRECT(ADDRESS(MATCH(E886,Код_КЦСР,0)+1,2,,,"КЦСР")))</f>
        <v>Непрограммные направления деятельности органов местного самоуправления</v>
      </c>
      <c r="B886" s="115">
        <v>807</v>
      </c>
      <c r="C886" s="8" t="s">
        <v>198</v>
      </c>
      <c r="D886" s="8" t="s">
        <v>221</v>
      </c>
      <c r="E886" s="115" t="s">
        <v>307</v>
      </c>
      <c r="F886" s="115"/>
      <c r="G886" s="70">
        <f t="shared" si="187"/>
        <v>46394.2</v>
      </c>
      <c r="H886" s="70">
        <f t="shared" si="187"/>
        <v>0</v>
      </c>
      <c r="I886" s="70">
        <f t="shared" si="181"/>
        <v>46394.2</v>
      </c>
      <c r="J886" s="70">
        <f t="shared" si="187"/>
        <v>0</v>
      </c>
      <c r="K886" s="87">
        <f t="shared" si="178"/>
        <v>46394.2</v>
      </c>
      <c r="L886" s="13">
        <f t="shared" si="187"/>
        <v>0</v>
      </c>
      <c r="M886" s="87">
        <f t="shared" si="182"/>
        <v>46394.2</v>
      </c>
      <c r="N886" s="13">
        <f t="shared" si="187"/>
        <v>0</v>
      </c>
      <c r="O886" s="87">
        <f t="shared" si="183"/>
        <v>46394.2</v>
      </c>
      <c r="P886" s="13">
        <f t="shared" si="187"/>
        <v>0</v>
      </c>
      <c r="Q886" s="87">
        <f t="shared" si="176"/>
        <v>46394.2</v>
      </c>
      <c r="R886" s="13">
        <f t="shared" si="187"/>
        <v>0</v>
      </c>
      <c r="S886" s="87">
        <f t="shared" si="174"/>
        <v>46394.2</v>
      </c>
    </row>
    <row r="887" spans="1:19" ht="12.75">
      <c r="A887" s="62" t="str">
        <f ca="1">IF(ISERROR(MATCH(E887,Код_КЦСР,0)),"",INDIRECT(ADDRESS(MATCH(E887,Код_КЦСР,0)+1,2,,,"КЦСР")))</f>
        <v>Расходы, не включенные в муниципальные программы города Череповца</v>
      </c>
      <c r="B887" s="115">
        <v>807</v>
      </c>
      <c r="C887" s="8" t="s">
        <v>198</v>
      </c>
      <c r="D887" s="8" t="s">
        <v>221</v>
      </c>
      <c r="E887" s="115" t="s">
        <v>309</v>
      </c>
      <c r="F887" s="115"/>
      <c r="G887" s="70">
        <f t="shared" si="187"/>
        <v>46394.2</v>
      </c>
      <c r="H887" s="70">
        <f t="shared" si="187"/>
        <v>0</v>
      </c>
      <c r="I887" s="70">
        <f t="shared" si="181"/>
        <v>46394.2</v>
      </c>
      <c r="J887" s="70">
        <f t="shared" si="187"/>
        <v>0</v>
      </c>
      <c r="K887" s="87">
        <f t="shared" si="178"/>
        <v>46394.2</v>
      </c>
      <c r="L887" s="13">
        <f t="shared" si="187"/>
        <v>0</v>
      </c>
      <c r="M887" s="87">
        <f t="shared" si="182"/>
        <v>46394.2</v>
      </c>
      <c r="N887" s="13">
        <f t="shared" si="187"/>
        <v>0</v>
      </c>
      <c r="O887" s="87">
        <f t="shared" si="183"/>
        <v>46394.2</v>
      </c>
      <c r="P887" s="13">
        <f t="shared" si="187"/>
        <v>0</v>
      </c>
      <c r="Q887" s="87">
        <f t="shared" si="176"/>
        <v>46394.2</v>
      </c>
      <c r="R887" s="13">
        <f t="shared" si="187"/>
        <v>0</v>
      </c>
      <c r="S887" s="87">
        <f aca="true" t="shared" si="188" ref="S887:S967">Q887+R887</f>
        <v>46394.2</v>
      </c>
    </row>
    <row r="888" spans="1:19" ht="12.75">
      <c r="A888" s="62" t="str">
        <f ca="1">IF(ISERROR(MATCH(E888,Код_КЦСР,0)),"",INDIRECT(ADDRESS(MATCH(E888,Код_КЦСР,0)+1,2,,,"КЦСР")))</f>
        <v>Процентные платежи по долговым обязательствам</v>
      </c>
      <c r="B888" s="115">
        <v>807</v>
      </c>
      <c r="C888" s="8" t="s">
        <v>198</v>
      </c>
      <c r="D888" s="8" t="s">
        <v>221</v>
      </c>
      <c r="E888" s="115" t="s">
        <v>322</v>
      </c>
      <c r="F888" s="115"/>
      <c r="G888" s="70">
        <f t="shared" si="187"/>
        <v>46394.2</v>
      </c>
      <c r="H888" s="70">
        <f t="shared" si="187"/>
        <v>0</v>
      </c>
      <c r="I888" s="70">
        <f t="shared" si="181"/>
        <v>46394.2</v>
      </c>
      <c r="J888" s="70">
        <f t="shared" si="187"/>
        <v>0</v>
      </c>
      <c r="K888" s="87">
        <f t="shared" si="178"/>
        <v>46394.2</v>
      </c>
      <c r="L888" s="13">
        <f t="shared" si="187"/>
        <v>0</v>
      </c>
      <c r="M888" s="87">
        <f t="shared" si="182"/>
        <v>46394.2</v>
      </c>
      <c r="N888" s="13">
        <f t="shared" si="187"/>
        <v>0</v>
      </c>
      <c r="O888" s="87">
        <f t="shared" si="183"/>
        <v>46394.2</v>
      </c>
      <c r="P888" s="13">
        <f t="shared" si="187"/>
        <v>0</v>
      </c>
      <c r="Q888" s="87">
        <f t="shared" si="176"/>
        <v>46394.2</v>
      </c>
      <c r="R888" s="13">
        <f t="shared" si="187"/>
        <v>0</v>
      </c>
      <c r="S888" s="87">
        <f t="shared" si="188"/>
        <v>46394.2</v>
      </c>
    </row>
    <row r="889" spans="1:19" ht="12.75">
      <c r="A889" s="62" t="str">
        <f ca="1">IF(ISERROR(MATCH(E889,Код_КЦСР,0)),"",INDIRECT(ADDRESS(MATCH(E889,Код_КЦСР,0)+1,2,,,"КЦСР")))</f>
        <v>Процентные платежи по муниципальному долгу</v>
      </c>
      <c r="B889" s="115">
        <v>807</v>
      </c>
      <c r="C889" s="8" t="s">
        <v>198</v>
      </c>
      <c r="D889" s="8" t="s">
        <v>221</v>
      </c>
      <c r="E889" s="115" t="s">
        <v>323</v>
      </c>
      <c r="F889" s="115"/>
      <c r="G889" s="70">
        <f t="shared" si="187"/>
        <v>46394.2</v>
      </c>
      <c r="H889" s="70">
        <f t="shared" si="187"/>
        <v>0</v>
      </c>
      <c r="I889" s="70">
        <f t="shared" si="181"/>
        <v>46394.2</v>
      </c>
      <c r="J889" s="70">
        <f t="shared" si="187"/>
        <v>0</v>
      </c>
      <c r="K889" s="87">
        <f t="shared" si="178"/>
        <v>46394.2</v>
      </c>
      <c r="L889" s="13">
        <f t="shared" si="187"/>
        <v>0</v>
      </c>
      <c r="M889" s="87">
        <f t="shared" si="182"/>
        <v>46394.2</v>
      </c>
      <c r="N889" s="13">
        <f t="shared" si="187"/>
        <v>0</v>
      </c>
      <c r="O889" s="87">
        <f t="shared" si="183"/>
        <v>46394.2</v>
      </c>
      <c r="P889" s="13">
        <f t="shared" si="187"/>
        <v>0</v>
      </c>
      <c r="Q889" s="87">
        <f t="shared" si="176"/>
        <v>46394.2</v>
      </c>
      <c r="R889" s="13">
        <f t="shared" si="187"/>
        <v>0</v>
      </c>
      <c r="S889" s="87">
        <f t="shared" si="188"/>
        <v>46394.2</v>
      </c>
    </row>
    <row r="890" spans="1:19" ht="12.75">
      <c r="A890" s="62" t="str">
        <f ca="1">IF(ISERROR(MATCH(F890,Код_КВР,0)),"",INDIRECT(ADDRESS(MATCH(F890,Код_КВР,0)+1,2,,,"КВР")))</f>
        <v>Обслуживание государственного (муниципального) долга</v>
      </c>
      <c r="B890" s="115">
        <v>807</v>
      </c>
      <c r="C890" s="8" t="s">
        <v>198</v>
      </c>
      <c r="D890" s="8" t="s">
        <v>221</v>
      </c>
      <c r="E890" s="115" t="s">
        <v>323</v>
      </c>
      <c r="F890" s="115">
        <v>700</v>
      </c>
      <c r="G890" s="70">
        <f t="shared" si="187"/>
        <v>46394.2</v>
      </c>
      <c r="H890" s="70">
        <f t="shared" si="187"/>
        <v>0</v>
      </c>
      <c r="I890" s="70">
        <f t="shared" si="181"/>
        <v>46394.2</v>
      </c>
      <c r="J890" s="70">
        <f t="shared" si="187"/>
        <v>0</v>
      </c>
      <c r="K890" s="87">
        <f t="shared" si="178"/>
        <v>46394.2</v>
      </c>
      <c r="L890" s="13">
        <f t="shared" si="187"/>
        <v>0</v>
      </c>
      <c r="M890" s="87">
        <f t="shared" si="182"/>
        <v>46394.2</v>
      </c>
      <c r="N890" s="13">
        <f t="shared" si="187"/>
        <v>0</v>
      </c>
      <c r="O890" s="87">
        <f t="shared" si="183"/>
        <v>46394.2</v>
      </c>
      <c r="P890" s="13">
        <f t="shared" si="187"/>
        <v>0</v>
      </c>
      <c r="Q890" s="87">
        <f t="shared" si="176"/>
        <v>46394.2</v>
      </c>
      <c r="R890" s="13">
        <f t="shared" si="187"/>
        <v>0</v>
      </c>
      <c r="S890" s="87">
        <f t="shared" si="188"/>
        <v>46394.2</v>
      </c>
    </row>
    <row r="891" spans="1:19" ht="12.75">
      <c r="A891" s="62" t="str">
        <f ca="1">IF(ISERROR(MATCH(F891,Код_КВР,0)),"",INDIRECT(ADDRESS(MATCH(F891,Код_КВР,0)+1,2,,,"КВР")))</f>
        <v>Обслуживание муниципального долга</v>
      </c>
      <c r="B891" s="115">
        <v>807</v>
      </c>
      <c r="C891" s="8" t="s">
        <v>198</v>
      </c>
      <c r="D891" s="8" t="s">
        <v>221</v>
      </c>
      <c r="E891" s="115" t="s">
        <v>323</v>
      </c>
      <c r="F891" s="115">
        <v>730</v>
      </c>
      <c r="G891" s="70">
        <v>46394.2</v>
      </c>
      <c r="H891" s="70"/>
      <c r="I891" s="70">
        <f t="shared" si="181"/>
        <v>46394.2</v>
      </c>
      <c r="J891" s="70"/>
      <c r="K891" s="87">
        <f t="shared" si="178"/>
        <v>46394.2</v>
      </c>
      <c r="L891" s="13"/>
      <c r="M891" s="87">
        <f t="shared" si="182"/>
        <v>46394.2</v>
      </c>
      <c r="N891" s="13"/>
      <c r="O891" s="87">
        <f t="shared" si="183"/>
        <v>46394.2</v>
      </c>
      <c r="P891" s="13"/>
      <c r="Q891" s="87">
        <f t="shared" si="176"/>
        <v>46394.2</v>
      </c>
      <c r="R891" s="13"/>
      <c r="S891" s="87">
        <f t="shared" si="188"/>
        <v>46394.2</v>
      </c>
    </row>
    <row r="892" spans="1:19" ht="12.75">
      <c r="A892" s="62" t="str">
        <f ca="1">IF(ISERROR(MATCH(B892,Код_ППП,0)),"",INDIRECT(ADDRESS(MATCH(B892,Код_ППП,0)+1,2,,,"ППП")))</f>
        <v>УПРАВЛЕНИЕ ПО ДЕЛАМ КУЛЬТУРЫ МЭРИИ ГОРОДА</v>
      </c>
      <c r="B892" s="115">
        <v>808</v>
      </c>
      <c r="C892" s="8"/>
      <c r="D892" s="8"/>
      <c r="E892" s="115"/>
      <c r="F892" s="115"/>
      <c r="G892" s="70">
        <f>G893+G902+G950</f>
        <v>321679.5</v>
      </c>
      <c r="H892" s="70">
        <f>H893+H902+H950</f>
        <v>0</v>
      </c>
      <c r="I892" s="70">
        <f t="shared" si="181"/>
        <v>321679.5</v>
      </c>
      <c r="J892" s="70">
        <f>J893+J902+J950</f>
        <v>-370.69999999999993</v>
      </c>
      <c r="K892" s="87">
        <f t="shared" si="178"/>
        <v>321308.8</v>
      </c>
      <c r="L892" s="13">
        <f>L893+L902+L950</f>
        <v>-237.10000000000002</v>
      </c>
      <c r="M892" s="87">
        <f t="shared" si="182"/>
        <v>321071.7</v>
      </c>
      <c r="N892" s="13">
        <f>N893+N902+N950</f>
        <v>0</v>
      </c>
      <c r="O892" s="87">
        <f t="shared" si="183"/>
        <v>321071.7</v>
      </c>
      <c r="P892" s="13">
        <f>P893+P902+P950</f>
        <v>140.2</v>
      </c>
      <c r="Q892" s="87">
        <f t="shared" si="176"/>
        <v>321211.9</v>
      </c>
      <c r="R892" s="13">
        <f>R893+R902+R950</f>
        <v>-9849.6</v>
      </c>
      <c r="S892" s="87">
        <f t="shared" si="188"/>
        <v>311362.30000000005</v>
      </c>
    </row>
    <row r="893" spans="1:19" ht="12.75">
      <c r="A893" s="62" t="str">
        <f ca="1">IF(ISERROR(MATCH(C893,Код_Раздел,0)),"",INDIRECT(ADDRESS(MATCH(C893,Код_Раздел,0)+1,2,,,"Раздел")))</f>
        <v>Национальная экономика</v>
      </c>
      <c r="B893" s="115">
        <v>808</v>
      </c>
      <c r="C893" s="8" t="s">
        <v>224</v>
      </c>
      <c r="D893" s="8"/>
      <c r="E893" s="115"/>
      <c r="F893" s="115"/>
      <c r="G893" s="70">
        <f aca="true" t="shared" si="189" ref="G893:R900">G894</f>
        <v>41.4</v>
      </c>
      <c r="H893" s="70">
        <f t="shared" si="189"/>
        <v>0</v>
      </c>
      <c r="I893" s="70">
        <f t="shared" si="181"/>
        <v>41.4</v>
      </c>
      <c r="J893" s="70">
        <f t="shared" si="189"/>
        <v>0</v>
      </c>
      <c r="K893" s="87">
        <f t="shared" si="178"/>
        <v>41.4</v>
      </c>
      <c r="L893" s="13">
        <f t="shared" si="189"/>
        <v>0</v>
      </c>
      <c r="M893" s="87">
        <f t="shared" si="182"/>
        <v>41.4</v>
      </c>
      <c r="N893" s="13">
        <f t="shared" si="189"/>
        <v>0</v>
      </c>
      <c r="O893" s="87">
        <f t="shared" si="183"/>
        <v>41.4</v>
      </c>
      <c r="P893" s="13">
        <f t="shared" si="189"/>
        <v>0</v>
      </c>
      <c r="Q893" s="87">
        <f aca="true" t="shared" si="190" ref="Q893:Q973">O893+P893</f>
        <v>41.4</v>
      </c>
      <c r="R893" s="13">
        <f t="shared" si="189"/>
        <v>0</v>
      </c>
      <c r="S893" s="87">
        <f t="shared" si="188"/>
        <v>41.4</v>
      </c>
    </row>
    <row r="894" spans="1:19" ht="12.75">
      <c r="A894" s="12" t="s">
        <v>231</v>
      </c>
      <c r="B894" s="115">
        <v>808</v>
      </c>
      <c r="C894" s="8" t="s">
        <v>224</v>
      </c>
      <c r="D894" s="8" t="s">
        <v>204</v>
      </c>
      <c r="E894" s="115"/>
      <c r="F894" s="115"/>
      <c r="G894" s="70">
        <f t="shared" si="189"/>
        <v>41.4</v>
      </c>
      <c r="H894" s="70">
        <f t="shared" si="189"/>
        <v>0</v>
      </c>
      <c r="I894" s="70">
        <f t="shared" si="181"/>
        <v>41.4</v>
      </c>
      <c r="J894" s="70">
        <f t="shared" si="189"/>
        <v>0</v>
      </c>
      <c r="K894" s="87">
        <f t="shared" si="178"/>
        <v>41.4</v>
      </c>
      <c r="L894" s="13">
        <f t="shared" si="189"/>
        <v>0</v>
      </c>
      <c r="M894" s="87">
        <f t="shared" si="182"/>
        <v>41.4</v>
      </c>
      <c r="N894" s="13">
        <f t="shared" si="189"/>
        <v>0</v>
      </c>
      <c r="O894" s="87">
        <f t="shared" si="183"/>
        <v>41.4</v>
      </c>
      <c r="P894" s="13">
        <f t="shared" si="189"/>
        <v>0</v>
      </c>
      <c r="Q894" s="87">
        <f t="shared" si="190"/>
        <v>41.4</v>
      </c>
      <c r="R894" s="13">
        <f t="shared" si="189"/>
        <v>0</v>
      </c>
      <c r="S894" s="87">
        <f t="shared" si="188"/>
        <v>41.4</v>
      </c>
    </row>
    <row r="895" spans="1:19" ht="33">
      <c r="A895" s="62" t="str">
        <f ca="1">IF(ISERROR(MATCH(E895,Код_КЦСР,0)),"",INDIRECT(ADDRESS(MATCH(E895,Код_КЦСР,0)+1,2,,,"КЦСР")))</f>
        <v>Муниципальная программа «Развитие внутреннего и въездного туризма в г. Череповце» на 2014-2022 годы</v>
      </c>
      <c r="B895" s="115">
        <v>808</v>
      </c>
      <c r="C895" s="8" t="s">
        <v>224</v>
      </c>
      <c r="D895" s="8" t="s">
        <v>204</v>
      </c>
      <c r="E895" s="115" t="s">
        <v>1</v>
      </c>
      <c r="F895" s="115"/>
      <c r="G895" s="70">
        <f t="shared" si="189"/>
        <v>41.4</v>
      </c>
      <c r="H895" s="70">
        <f t="shared" si="189"/>
        <v>0</v>
      </c>
      <c r="I895" s="70">
        <f t="shared" si="181"/>
        <v>41.4</v>
      </c>
      <c r="J895" s="70">
        <f t="shared" si="189"/>
        <v>0</v>
      </c>
      <c r="K895" s="87">
        <f t="shared" si="178"/>
        <v>41.4</v>
      </c>
      <c r="L895" s="13">
        <f t="shared" si="189"/>
        <v>0</v>
      </c>
      <c r="M895" s="87">
        <f t="shared" si="182"/>
        <v>41.4</v>
      </c>
      <c r="N895" s="13">
        <f t="shared" si="189"/>
        <v>0</v>
      </c>
      <c r="O895" s="87">
        <f t="shared" si="183"/>
        <v>41.4</v>
      </c>
      <c r="P895" s="13">
        <f t="shared" si="189"/>
        <v>0</v>
      </c>
      <c r="Q895" s="87">
        <f t="shared" si="190"/>
        <v>41.4</v>
      </c>
      <c r="R895" s="13">
        <f t="shared" si="189"/>
        <v>0</v>
      </c>
      <c r="S895" s="87">
        <f t="shared" si="188"/>
        <v>41.4</v>
      </c>
    </row>
    <row r="896" spans="1:19" ht="33">
      <c r="A896" s="62" t="str">
        <f ca="1">IF(ISERROR(MATCH(E896,Код_КЦСР,0)),"",INDIRECT(ADDRESS(MATCH(E896,Код_КЦСР,0)+1,2,,,"КЦСР")))</f>
        <v>Продвижение городского туристского продукта на российском и международном рынках</v>
      </c>
      <c r="B896" s="115">
        <v>808</v>
      </c>
      <c r="C896" s="8" t="s">
        <v>224</v>
      </c>
      <c r="D896" s="8" t="s">
        <v>204</v>
      </c>
      <c r="E896" s="115" t="s">
        <v>2</v>
      </c>
      <c r="F896" s="115"/>
      <c r="G896" s="70">
        <f>G897+G899</f>
        <v>41.4</v>
      </c>
      <c r="H896" s="70">
        <f>H897+H899</f>
        <v>0</v>
      </c>
      <c r="I896" s="70">
        <f t="shared" si="181"/>
        <v>41.4</v>
      </c>
      <c r="J896" s="70">
        <f>J897+J899</f>
        <v>0</v>
      </c>
      <c r="K896" s="87">
        <f t="shared" si="178"/>
        <v>41.4</v>
      </c>
      <c r="L896" s="13">
        <f>L897+L899</f>
        <v>0</v>
      </c>
      <c r="M896" s="87">
        <f t="shared" si="182"/>
        <v>41.4</v>
      </c>
      <c r="N896" s="13">
        <f>N897+N899</f>
        <v>0</v>
      </c>
      <c r="O896" s="87">
        <f t="shared" si="183"/>
        <v>41.4</v>
      </c>
      <c r="P896" s="13">
        <f>P897+P899</f>
        <v>0</v>
      </c>
      <c r="Q896" s="87">
        <f t="shared" si="190"/>
        <v>41.4</v>
      </c>
      <c r="R896" s="13">
        <f>R897+R899</f>
        <v>0</v>
      </c>
      <c r="S896" s="87">
        <f t="shared" si="188"/>
        <v>41.4</v>
      </c>
    </row>
    <row r="897" spans="1:19" ht="33">
      <c r="A897" s="62" t="str">
        <f ca="1">IF(ISERROR(MATCH(F897,Код_КВР,0)),"",INDIRECT(ADDRESS(MATCH(F897,Код_КВР,0)+1,2,,,"КВР")))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7" s="115">
        <v>808</v>
      </c>
      <c r="C897" s="8" t="s">
        <v>224</v>
      </c>
      <c r="D897" s="8" t="s">
        <v>204</v>
      </c>
      <c r="E897" s="115" t="s">
        <v>2</v>
      </c>
      <c r="F897" s="115">
        <v>100</v>
      </c>
      <c r="G897" s="70">
        <f>G898</f>
        <v>11</v>
      </c>
      <c r="H897" s="70">
        <f>H898</f>
        <v>0</v>
      </c>
      <c r="I897" s="70">
        <f t="shared" si="181"/>
        <v>11</v>
      </c>
      <c r="J897" s="70">
        <f>J898</f>
        <v>0</v>
      </c>
      <c r="K897" s="87">
        <f t="shared" si="178"/>
        <v>11</v>
      </c>
      <c r="L897" s="13">
        <f>L898</f>
        <v>0</v>
      </c>
      <c r="M897" s="87">
        <f t="shared" si="182"/>
        <v>11</v>
      </c>
      <c r="N897" s="13">
        <f>N898</f>
        <v>0</v>
      </c>
      <c r="O897" s="87">
        <f t="shared" si="183"/>
        <v>11</v>
      </c>
      <c r="P897" s="13">
        <f>P898</f>
        <v>0</v>
      </c>
      <c r="Q897" s="87">
        <f t="shared" si="190"/>
        <v>11</v>
      </c>
      <c r="R897" s="13">
        <f>R898</f>
        <v>0</v>
      </c>
      <c r="S897" s="87">
        <f t="shared" si="188"/>
        <v>11</v>
      </c>
    </row>
    <row r="898" spans="1:19" ht="12.75">
      <c r="A898" s="62" t="str">
        <f ca="1">IF(ISERROR(MATCH(F898,Код_КВР,0)),"",INDIRECT(ADDRESS(MATCH(F898,Код_КВР,0)+1,2,,,"КВР")))</f>
        <v>Расходы на выплаты персоналу муниципальных органов</v>
      </c>
      <c r="B898" s="115">
        <v>808</v>
      </c>
      <c r="C898" s="8" t="s">
        <v>224</v>
      </c>
      <c r="D898" s="8" t="s">
        <v>204</v>
      </c>
      <c r="E898" s="115" t="s">
        <v>2</v>
      </c>
      <c r="F898" s="115">
        <v>120</v>
      </c>
      <c r="G898" s="70">
        <v>11</v>
      </c>
      <c r="H898" s="70"/>
      <c r="I898" s="70">
        <f t="shared" si="181"/>
        <v>11</v>
      </c>
      <c r="J898" s="70"/>
      <c r="K898" s="87">
        <f t="shared" si="178"/>
        <v>11</v>
      </c>
      <c r="L898" s="13"/>
      <c r="M898" s="87">
        <f t="shared" si="182"/>
        <v>11</v>
      </c>
      <c r="N898" s="13"/>
      <c r="O898" s="87">
        <f t="shared" si="183"/>
        <v>11</v>
      </c>
      <c r="P898" s="13"/>
      <c r="Q898" s="87">
        <f t="shared" si="190"/>
        <v>11</v>
      </c>
      <c r="R898" s="13"/>
      <c r="S898" s="87">
        <f t="shared" si="188"/>
        <v>11</v>
      </c>
    </row>
    <row r="899" spans="1:19" ht="33">
      <c r="A899" s="62" t="str">
        <f ca="1">IF(ISERROR(MATCH(F899,Код_КВР,0)),"",INDIRECT(ADDRESS(MATCH(F899,Код_КВР,0)+1,2,,,"КВР")))</f>
        <v>Предоставление субсидий бюджетным, автономным учреждениям и иным некоммерческим организациям</v>
      </c>
      <c r="B899" s="115">
        <v>808</v>
      </c>
      <c r="C899" s="8" t="s">
        <v>224</v>
      </c>
      <c r="D899" s="8" t="s">
        <v>204</v>
      </c>
      <c r="E899" s="115" t="s">
        <v>2</v>
      </c>
      <c r="F899" s="115">
        <v>600</v>
      </c>
      <c r="G899" s="70">
        <f t="shared" si="189"/>
        <v>30.4</v>
      </c>
      <c r="H899" s="70">
        <f t="shared" si="189"/>
        <v>0</v>
      </c>
      <c r="I899" s="70">
        <f t="shared" si="181"/>
        <v>30.4</v>
      </c>
      <c r="J899" s="70">
        <f t="shared" si="189"/>
        <v>0</v>
      </c>
      <c r="K899" s="87">
        <f aca="true" t="shared" si="191" ref="K899:K988">I899+J899</f>
        <v>30.4</v>
      </c>
      <c r="L899" s="13">
        <f t="shared" si="189"/>
        <v>0</v>
      </c>
      <c r="M899" s="87">
        <f t="shared" si="182"/>
        <v>30.4</v>
      </c>
      <c r="N899" s="13">
        <f t="shared" si="189"/>
        <v>0</v>
      </c>
      <c r="O899" s="87">
        <f t="shared" si="183"/>
        <v>30.4</v>
      </c>
      <c r="P899" s="13">
        <f t="shared" si="189"/>
        <v>0</v>
      </c>
      <c r="Q899" s="87">
        <f t="shared" si="190"/>
        <v>30.4</v>
      </c>
      <c r="R899" s="13">
        <f t="shared" si="189"/>
        <v>0</v>
      </c>
      <c r="S899" s="87">
        <f t="shared" si="188"/>
        <v>30.4</v>
      </c>
    </row>
    <row r="900" spans="1:19" ht="12.75">
      <c r="A900" s="62" t="str">
        <f ca="1">IF(ISERROR(MATCH(F900,Код_КВР,0)),"",INDIRECT(ADDRESS(MATCH(F900,Код_КВР,0)+1,2,,,"КВР")))</f>
        <v>Субсидии бюджетным учреждениям</v>
      </c>
      <c r="B900" s="115">
        <v>808</v>
      </c>
      <c r="C900" s="8" t="s">
        <v>224</v>
      </c>
      <c r="D900" s="8" t="s">
        <v>204</v>
      </c>
      <c r="E900" s="115" t="s">
        <v>2</v>
      </c>
      <c r="F900" s="115">
        <v>610</v>
      </c>
      <c r="G900" s="70">
        <f t="shared" si="189"/>
        <v>30.4</v>
      </c>
      <c r="H900" s="70">
        <f t="shared" si="189"/>
        <v>0</v>
      </c>
      <c r="I900" s="70">
        <f t="shared" si="181"/>
        <v>30.4</v>
      </c>
      <c r="J900" s="70">
        <f t="shared" si="189"/>
        <v>0</v>
      </c>
      <c r="K900" s="87">
        <f t="shared" si="191"/>
        <v>30.4</v>
      </c>
      <c r="L900" s="13">
        <f t="shared" si="189"/>
        <v>0</v>
      </c>
      <c r="M900" s="87">
        <f t="shared" si="182"/>
        <v>30.4</v>
      </c>
      <c r="N900" s="13">
        <f t="shared" si="189"/>
        <v>0</v>
      </c>
      <c r="O900" s="87">
        <f t="shared" si="183"/>
        <v>30.4</v>
      </c>
      <c r="P900" s="13">
        <f t="shared" si="189"/>
        <v>0</v>
      </c>
      <c r="Q900" s="87">
        <f t="shared" si="190"/>
        <v>30.4</v>
      </c>
      <c r="R900" s="13">
        <f t="shared" si="189"/>
        <v>0</v>
      </c>
      <c r="S900" s="87">
        <f t="shared" si="188"/>
        <v>30.4</v>
      </c>
    </row>
    <row r="901" spans="1:19" ht="12.75">
      <c r="A901" s="62" t="str">
        <f ca="1">IF(ISERROR(MATCH(F901,Код_КВР,0)),"",INDIRECT(ADDRESS(MATCH(F901,Код_КВР,0)+1,2,,,"КВР")))</f>
        <v>Субсидии бюджетным учреждениям на иные цели</v>
      </c>
      <c r="B901" s="115">
        <v>808</v>
      </c>
      <c r="C901" s="8" t="s">
        <v>224</v>
      </c>
      <c r="D901" s="8" t="s">
        <v>204</v>
      </c>
      <c r="E901" s="115" t="s">
        <v>2</v>
      </c>
      <c r="F901" s="115">
        <v>612</v>
      </c>
      <c r="G901" s="70">
        <v>30.4</v>
      </c>
      <c r="H901" s="70"/>
      <c r="I901" s="70">
        <f t="shared" si="181"/>
        <v>30.4</v>
      </c>
      <c r="J901" s="70"/>
      <c r="K901" s="87">
        <f t="shared" si="191"/>
        <v>30.4</v>
      </c>
      <c r="L901" s="13"/>
      <c r="M901" s="87">
        <f t="shared" si="182"/>
        <v>30.4</v>
      </c>
      <c r="N901" s="13"/>
      <c r="O901" s="87">
        <f t="shared" si="183"/>
        <v>30.4</v>
      </c>
      <c r="P901" s="13"/>
      <c r="Q901" s="87">
        <f t="shared" si="190"/>
        <v>30.4</v>
      </c>
      <c r="R901" s="13"/>
      <c r="S901" s="87">
        <f t="shared" si="188"/>
        <v>30.4</v>
      </c>
    </row>
    <row r="902" spans="1:19" ht="12.75">
      <c r="A902" s="62" t="str">
        <f ca="1">IF(ISERROR(MATCH(C902,Код_Раздел,0)),"",INDIRECT(ADDRESS(MATCH(C902,Код_Раздел,0)+1,2,,,"Раздел")))</f>
        <v>Образование</v>
      </c>
      <c r="B902" s="115">
        <v>808</v>
      </c>
      <c r="C902" s="8" t="s">
        <v>203</v>
      </c>
      <c r="D902" s="8"/>
      <c r="E902" s="115"/>
      <c r="F902" s="115"/>
      <c r="G902" s="70">
        <f>G903+G924</f>
        <v>61155.1</v>
      </c>
      <c r="H902" s="70">
        <f>H903+H924</f>
        <v>0</v>
      </c>
      <c r="I902" s="70">
        <f t="shared" si="181"/>
        <v>61155.1</v>
      </c>
      <c r="J902" s="70">
        <f>J903+J918+J924</f>
        <v>73.1</v>
      </c>
      <c r="K902" s="87">
        <f t="shared" si="191"/>
        <v>61228.2</v>
      </c>
      <c r="L902" s="13">
        <f>L903+L918+L924</f>
        <v>-50.9</v>
      </c>
      <c r="M902" s="87">
        <f t="shared" si="182"/>
        <v>61177.299999999996</v>
      </c>
      <c r="N902" s="13">
        <f>N903+N918+N924</f>
        <v>0</v>
      </c>
      <c r="O902" s="87">
        <f t="shared" si="183"/>
        <v>61177.299999999996</v>
      </c>
      <c r="P902" s="13">
        <f>P903+P918+P924</f>
        <v>0</v>
      </c>
      <c r="Q902" s="87">
        <f t="shared" si="190"/>
        <v>61177.299999999996</v>
      </c>
      <c r="R902" s="13">
        <f>R903+R918+R924</f>
        <v>488.5</v>
      </c>
      <c r="S902" s="87">
        <f t="shared" si="188"/>
        <v>61665.799999999996</v>
      </c>
    </row>
    <row r="903" spans="1:19" ht="12.75">
      <c r="A903" s="12" t="s">
        <v>258</v>
      </c>
      <c r="B903" s="115">
        <v>808</v>
      </c>
      <c r="C903" s="8" t="s">
        <v>203</v>
      </c>
      <c r="D903" s="8" t="s">
        <v>222</v>
      </c>
      <c r="E903" s="115"/>
      <c r="F903" s="115"/>
      <c r="G903" s="70">
        <f aca="true" t="shared" si="192" ref="G903:R912">G904</f>
        <v>60888.1</v>
      </c>
      <c r="H903" s="70">
        <f t="shared" si="192"/>
        <v>0</v>
      </c>
      <c r="I903" s="70">
        <f t="shared" si="181"/>
        <v>60888.1</v>
      </c>
      <c r="J903" s="70">
        <f t="shared" si="192"/>
        <v>0</v>
      </c>
      <c r="K903" s="87">
        <f t="shared" si="191"/>
        <v>60888.1</v>
      </c>
      <c r="L903" s="13">
        <f t="shared" si="192"/>
        <v>-50.9</v>
      </c>
      <c r="M903" s="87">
        <f t="shared" si="182"/>
        <v>60837.2</v>
      </c>
      <c r="N903" s="13">
        <f t="shared" si="192"/>
        <v>0</v>
      </c>
      <c r="O903" s="87">
        <f t="shared" si="183"/>
        <v>60837.2</v>
      </c>
      <c r="P903" s="13">
        <f t="shared" si="192"/>
        <v>0</v>
      </c>
      <c r="Q903" s="87">
        <f t="shared" si="190"/>
        <v>60837.2</v>
      </c>
      <c r="R903" s="13">
        <f t="shared" si="192"/>
        <v>330.6</v>
      </c>
      <c r="S903" s="87">
        <f t="shared" si="188"/>
        <v>61167.799999999996</v>
      </c>
    </row>
    <row r="904" spans="1:19" ht="33">
      <c r="A904" s="62" t="str">
        <f ca="1">IF(ISERROR(MATCH(E904,Код_КЦСР,0)),"",INDIRECT(ADDRESS(MATCH(E904,Код_КЦСР,0)+1,2,,,"КЦСР")))</f>
        <v>Муниципальная программа «Культура, традиции и народное творчество в городе Череповце» на 2013-2018 годы</v>
      </c>
      <c r="B904" s="115">
        <v>808</v>
      </c>
      <c r="C904" s="8" t="s">
        <v>203</v>
      </c>
      <c r="D904" s="8" t="s">
        <v>222</v>
      </c>
      <c r="E904" s="115" t="s">
        <v>472</v>
      </c>
      <c r="F904" s="115"/>
      <c r="G904" s="70">
        <f t="shared" si="192"/>
        <v>60888.1</v>
      </c>
      <c r="H904" s="70">
        <f t="shared" si="192"/>
        <v>0</v>
      </c>
      <c r="I904" s="70">
        <f t="shared" si="181"/>
        <v>60888.1</v>
      </c>
      <c r="J904" s="70">
        <f t="shared" si="192"/>
        <v>0</v>
      </c>
      <c r="K904" s="87">
        <f t="shared" si="191"/>
        <v>60888.1</v>
      </c>
      <c r="L904" s="13">
        <f t="shared" si="192"/>
        <v>-50.9</v>
      </c>
      <c r="M904" s="87">
        <f t="shared" si="182"/>
        <v>60837.2</v>
      </c>
      <c r="N904" s="13">
        <f t="shared" si="192"/>
        <v>0</v>
      </c>
      <c r="O904" s="87">
        <f t="shared" si="183"/>
        <v>60837.2</v>
      </c>
      <c r="P904" s="13">
        <f t="shared" si="192"/>
        <v>0</v>
      </c>
      <c r="Q904" s="87">
        <f t="shared" si="190"/>
        <v>60837.2</v>
      </c>
      <c r="R904" s="13">
        <f t="shared" si="192"/>
        <v>330.6</v>
      </c>
      <c r="S904" s="87">
        <f t="shared" si="188"/>
        <v>61167.799999999996</v>
      </c>
    </row>
    <row r="905" spans="1:19" ht="33">
      <c r="A905" s="62" t="str">
        <f ca="1">IF(ISERROR(MATCH(E905,Код_КЦСР,0)),"",INDIRECT(ADDRESS(MATCH(E905,Код_КЦСР,0)+1,2,,,"КЦСР")))</f>
        <v>Дополнительное образование в сфере культуры и искусства, поддержка юных дарований</v>
      </c>
      <c r="B905" s="115">
        <v>808</v>
      </c>
      <c r="C905" s="8" t="s">
        <v>203</v>
      </c>
      <c r="D905" s="8" t="s">
        <v>222</v>
      </c>
      <c r="E905" s="115" t="s">
        <v>526</v>
      </c>
      <c r="F905" s="115"/>
      <c r="G905" s="70">
        <f>G910</f>
        <v>60888.1</v>
      </c>
      <c r="H905" s="70">
        <f>H910</f>
        <v>0</v>
      </c>
      <c r="I905" s="70">
        <f t="shared" si="181"/>
        <v>60888.1</v>
      </c>
      <c r="J905" s="70">
        <f>J910</f>
        <v>0</v>
      </c>
      <c r="K905" s="87">
        <f t="shared" si="191"/>
        <v>60888.1</v>
      </c>
      <c r="L905" s="13">
        <f>L910</f>
        <v>-50.9</v>
      </c>
      <c r="M905" s="87">
        <f t="shared" si="182"/>
        <v>60837.2</v>
      </c>
      <c r="N905" s="13">
        <f>N910</f>
        <v>0</v>
      </c>
      <c r="O905" s="87">
        <f t="shared" si="183"/>
        <v>60837.2</v>
      </c>
      <c r="P905" s="13">
        <f>P910</f>
        <v>0</v>
      </c>
      <c r="Q905" s="87">
        <f t="shared" si="190"/>
        <v>60837.2</v>
      </c>
      <c r="R905" s="13">
        <f>R910+R914+R906</f>
        <v>330.6</v>
      </c>
      <c r="S905" s="87">
        <f t="shared" si="188"/>
        <v>61167.799999999996</v>
      </c>
    </row>
    <row r="906" spans="1:19" s="94" customFormat="1" ht="57.95" customHeight="1" hidden="1">
      <c r="A906" s="62" t="str">
        <f ca="1">IF(ISERROR(MATCH(E906,Код_КЦСР,0)),"",INDIRECT(ADDRESS(MATCH(E906,Код_КЦСР,0)+1,2,,,"КЦСР")))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06" s="130">
        <v>808</v>
      </c>
      <c r="C906" s="8" t="s">
        <v>203</v>
      </c>
      <c r="D906" s="8" t="s">
        <v>222</v>
      </c>
      <c r="E906" s="130" t="s">
        <v>528</v>
      </c>
      <c r="F906" s="130"/>
      <c r="G906" s="70"/>
      <c r="H906" s="70"/>
      <c r="I906" s="70"/>
      <c r="J906" s="70"/>
      <c r="K906" s="87"/>
      <c r="L906" s="13"/>
      <c r="M906" s="87"/>
      <c r="N906" s="13"/>
      <c r="O906" s="87"/>
      <c r="P906" s="13"/>
      <c r="Q906" s="87"/>
      <c r="R906" s="13">
        <f>R907</f>
        <v>0</v>
      </c>
      <c r="S906" s="87">
        <f t="shared" si="188"/>
        <v>0</v>
      </c>
    </row>
    <row r="907" spans="1:19" s="94" customFormat="1" ht="33" hidden="1">
      <c r="A907" s="62" t="str">
        <f ca="1">IF(ISERROR(MATCH(F907,Код_КВР,0)),"",INDIRECT(ADDRESS(MATCH(F907,Код_КВР,0)+1,2,,,"КВР")))</f>
        <v>Предоставление субсидий бюджетным, автономным учреждениям и иным некоммерческим организациям</v>
      </c>
      <c r="B907" s="130">
        <v>808</v>
      </c>
      <c r="C907" s="8" t="s">
        <v>203</v>
      </c>
      <c r="D907" s="8" t="s">
        <v>222</v>
      </c>
      <c r="E907" s="130" t="s">
        <v>528</v>
      </c>
      <c r="F907" s="130">
        <v>600</v>
      </c>
      <c r="G907" s="70"/>
      <c r="H907" s="70"/>
      <c r="I907" s="70"/>
      <c r="J907" s="70"/>
      <c r="K907" s="87"/>
      <c r="L907" s="13"/>
      <c r="M907" s="87"/>
      <c r="N907" s="13"/>
      <c r="O907" s="87"/>
      <c r="P907" s="13"/>
      <c r="Q907" s="87"/>
      <c r="R907" s="13">
        <f>R908</f>
        <v>0</v>
      </c>
      <c r="S907" s="87">
        <f t="shared" si="188"/>
        <v>0</v>
      </c>
    </row>
    <row r="908" spans="1:19" s="94" customFormat="1" ht="12.75" hidden="1">
      <c r="A908" s="62" t="str">
        <f ca="1">IF(ISERROR(MATCH(F908,Код_КВР,0)),"",INDIRECT(ADDRESS(MATCH(F908,Код_КВР,0)+1,2,,,"КВР")))</f>
        <v>Субсидии бюджетным учреждениям</v>
      </c>
      <c r="B908" s="130">
        <v>808</v>
      </c>
      <c r="C908" s="8" t="s">
        <v>203</v>
      </c>
      <c r="D908" s="8" t="s">
        <v>222</v>
      </c>
      <c r="E908" s="130" t="s">
        <v>528</v>
      </c>
      <c r="F908" s="130">
        <v>610</v>
      </c>
      <c r="G908" s="70"/>
      <c r="H908" s="70"/>
      <c r="I908" s="70"/>
      <c r="J908" s="70"/>
      <c r="K908" s="87"/>
      <c r="L908" s="13"/>
      <c r="M908" s="87"/>
      <c r="N908" s="13"/>
      <c r="O908" s="87"/>
      <c r="P908" s="13"/>
      <c r="Q908" s="87"/>
      <c r="R908" s="13">
        <f>R909</f>
        <v>0</v>
      </c>
      <c r="S908" s="87">
        <f t="shared" si="188"/>
        <v>0</v>
      </c>
    </row>
    <row r="909" spans="1:19" s="94" customFormat="1" ht="21.95" customHeight="1" hidden="1">
      <c r="A909" s="62" t="str">
        <f ca="1">IF(ISERROR(MATCH(F909,Код_КВР,0)),"",INDIRECT(ADDRESS(MATCH(F909,Код_КВР,0)+1,2,,,"КВР")))</f>
        <v>Субсидии бюджетным учреждениям на иные цели</v>
      </c>
      <c r="B909" s="130">
        <v>808</v>
      </c>
      <c r="C909" s="8" t="s">
        <v>203</v>
      </c>
      <c r="D909" s="8" t="s">
        <v>222</v>
      </c>
      <c r="E909" s="130" t="s">
        <v>528</v>
      </c>
      <c r="F909" s="130">
        <v>612</v>
      </c>
      <c r="G909" s="70"/>
      <c r="H909" s="70"/>
      <c r="I909" s="70"/>
      <c r="J909" s="70"/>
      <c r="K909" s="87"/>
      <c r="L909" s="13"/>
      <c r="M909" s="87"/>
      <c r="N909" s="13"/>
      <c r="O909" s="87"/>
      <c r="P909" s="13"/>
      <c r="Q909" s="87"/>
      <c r="R909" s="13"/>
      <c r="S909" s="87">
        <f t="shared" si="188"/>
        <v>0</v>
      </c>
    </row>
    <row r="910" spans="1:19" ht="12.75">
      <c r="A910" s="62" t="str">
        <f ca="1">IF(ISERROR(MATCH(E910,Код_КЦСР,0)),"",INDIRECT(ADDRESS(MATCH(E910,Код_КЦСР,0)+1,2,,,"КЦСР")))</f>
        <v>Оказание муниципальных услуг</v>
      </c>
      <c r="B910" s="115">
        <v>808</v>
      </c>
      <c r="C910" s="8" t="s">
        <v>203</v>
      </c>
      <c r="D910" s="8" t="s">
        <v>222</v>
      </c>
      <c r="E910" s="115" t="s">
        <v>529</v>
      </c>
      <c r="F910" s="115"/>
      <c r="G910" s="70">
        <f t="shared" si="192"/>
        <v>60888.1</v>
      </c>
      <c r="H910" s="70">
        <f t="shared" si="192"/>
        <v>0</v>
      </c>
      <c r="I910" s="70">
        <f t="shared" si="181"/>
        <v>60888.1</v>
      </c>
      <c r="J910" s="70">
        <f t="shared" si="192"/>
        <v>0</v>
      </c>
      <c r="K910" s="87">
        <f t="shared" si="191"/>
        <v>60888.1</v>
      </c>
      <c r="L910" s="13">
        <f t="shared" si="192"/>
        <v>-50.9</v>
      </c>
      <c r="M910" s="87">
        <f t="shared" si="182"/>
        <v>60837.2</v>
      </c>
      <c r="N910" s="13">
        <f t="shared" si="192"/>
        <v>0</v>
      </c>
      <c r="O910" s="87">
        <f t="shared" si="183"/>
        <v>60837.2</v>
      </c>
      <c r="P910" s="13">
        <f t="shared" si="192"/>
        <v>0</v>
      </c>
      <c r="Q910" s="87">
        <f t="shared" si="190"/>
        <v>60837.2</v>
      </c>
      <c r="R910" s="13">
        <f t="shared" si="192"/>
        <v>330.6</v>
      </c>
      <c r="S910" s="87">
        <f t="shared" si="188"/>
        <v>61167.799999999996</v>
      </c>
    </row>
    <row r="911" spans="1:19" ht="33">
      <c r="A911" s="62" t="str">
        <f ca="1">IF(ISERROR(MATCH(F911,Код_КВР,0)),"",INDIRECT(ADDRESS(MATCH(F911,Код_КВР,0)+1,2,,,"КВР")))</f>
        <v>Предоставление субсидий бюджетным, автономным учреждениям и иным некоммерческим организациям</v>
      </c>
      <c r="B911" s="115">
        <v>808</v>
      </c>
      <c r="C911" s="8" t="s">
        <v>203</v>
      </c>
      <c r="D911" s="8" t="s">
        <v>222</v>
      </c>
      <c r="E911" s="115" t="s">
        <v>529</v>
      </c>
      <c r="F911" s="115">
        <v>600</v>
      </c>
      <c r="G911" s="70">
        <f t="shared" si="192"/>
        <v>60888.1</v>
      </c>
      <c r="H911" s="70">
        <f t="shared" si="192"/>
        <v>0</v>
      </c>
      <c r="I911" s="70">
        <f t="shared" si="181"/>
        <v>60888.1</v>
      </c>
      <c r="J911" s="70">
        <f t="shared" si="192"/>
        <v>0</v>
      </c>
      <c r="K911" s="87">
        <f t="shared" si="191"/>
        <v>60888.1</v>
      </c>
      <c r="L911" s="13">
        <f t="shared" si="192"/>
        <v>-50.9</v>
      </c>
      <c r="M911" s="87">
        <f t="shared" si="182"/>
        <v>60837.2</v>
      </c>
      <c r="N911" s="13">
        <f t="shared" si="192"/>
        <v>0</v>
      </c>
      <c r="O911" s="87">
        <f t="shared" si="183"/>
        <v>60837.2</v>
      </c>
      <c r="P911" s="13">
        <f t="shared" si="192"/>
        <v>0</v>
      </c>
      <c r="Q911" s="87">
        <f t="shared" si="190"/>
        <v>60837.2</v>
      </c>
      <c r="R911" s="13">
        <f t="shared" si="192"/>
        <v>330.6</v>
      </c>
      <c r="S911" s="87">
        <f t="shared" si="188"/>
        <v>61167.799999999996</v>
      </c>
    </row>
    <row r="912" spans="1:19" ht="12.75">
      <c r="A912" s="62" t="str">
        <f ca="1">IF(ISERROR(MATCH(F912,Код_КВР,0)),"",INDIRECT(ADDRESS(MATCH(F912,Код_КВР,0)+1,2,,,"КВР")))</f>
        <v>Субсидии бюджетным учреждениям</v>
      </c>
      <c r="B912" s="115">
        <v>808</v>
      </c>
      <c r="C912" s="8" t="s">
        <v>203</v>
      </c>
      <c r="D912" s="8" t="s">
        <v>222</v>
      </c>
      <c r="E912" s="115" t="s">
        <v>529</v>
      </c>
      <c r="F912" s="115">
        <v>610</v>
      </c>
      <c r="G912" s="70">
        <f t="shared" si="192"/>
        <v>60888.1</v>
      </c>
      <c r="H912" s="70">
        <f t="shared" si="192"/>
        <v>0</v>
      </c>
      <c r="I912" s="70">
        <f t="shared" si="181"/>
        <v>60888.1</v>
      </c>
      <c r="J912" s="70">
        <f t="shared" si="192"/>
        <v>0</v>
      </c>
      <c r="K912" s="87">
        <f t="shared" si="191"/>
        <v>60888.1</v>
      </c>
      <c r="L912" s="13">
        <f t="shared" si="192"/>
        <v>-50.9</v>
      </c>
      <c r="M912" s="87">
        <f t="shared" si="182"/>
        <v>60837.2</v>
      </c>
      <c r="N912" s="13">
        <f t="shared" si="192"/>
        <v>0</v>
      </c>
      <c r="O912" s="87">
        <f t="shared" si="183"/>
        <v>60837.2</v>
      </c>
      <c r="P912" s="13">
        <f t="shared" si="192"/>
        <v>0</v>
      </c>
      <c r="Q912" s="87">
        <f t="shared" si="190"/>
        <v>60837.2</v>
      </c>
      <c r="R912" s="13">
        <f t="shared" si="192"/>
        <v>330.6</v>
      </c>
      <c r="S912" s="87">
        <f t="shared" si="188"/>
        <v>61167.799999999996</v>
      </c>
    </row>
    <row r="913" spans="1:19" ht="49.5">
      <c r="A913" s="62" t="str">
        <f ca="1">IF(ISERROR(MATCH(F913,Код_КВР,0)),"",INDIRECT(ADDRESS(MATCH(F913,Код_КВР,0)+1,2,,,"КВР")))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3" s="115">
        <v>808</v>
      </c>
      <c r="C913" s="8" t="s">
        <v>203</v>
      </c>
      <c r="D913" s="8" t="s">
        <v>222</v>
      </c>
      <c r="E913" s="115" t="s">
        <v>529</v>
      </c>
      <c r="F913" s="115">
        <v>611</v>
      </c>
      <c r="G913" s="70">
        <v>60888.1</v>
      </c>
      <c r="H913" s="70"/>
      <c r="I913" s="70">
        <f t="shared" si="181"/>
        <v>60888.1</v>
      </c>
      <c r="J913" s="70"/>
      <c r="K913" s="87">
        <f t="shared" si="191"/>
        <v>60888.1</v>
      </c>
      <c r="L913" s="13">
        <v>-50.9</v>
      </c>
      <c r="M913" s="87">
        <f t="shared" si="182"/>
        <v>60837.2</v>
      </c>
      <c r="N913" s="13"/>
      <c r="O913" s="87">
        <f t="shared" si="183"/>
        <v>60837.2</v>
      </c>
      <c r="P913" s="13"/>
      <c r="Q913" s="87">
        <f t="shared" si="190"/>
        <v>60837.2</v>
      </c>
      <c r="R913" s="13">
        <f>338.5-7.9</f>
        <v>330.6</v>
      </c>
      <c r="S913" s="87">
        <f t="shared" si="188"/>
        <v>61167.799999999996</v>
      </c>
    </row>
    <row r="914" spans="1:19" s="94" customFormat="1" ht="41.25" customHeight="1" hidden="1">
      <c r="A914" s="62" t="str">
        <f ca="1">IF(ISERROR(MATCH(E914,Код_КЦСР,0)),"",INDIRECT(ADDRESS(MATCH(E914,Код_КЦСР,0)+1,2,,,"КЦСР")))</f>
        <v>Реализация мероприятий федеральной целевой программы "Культура России" (2012-2018 годы) за счет субсидий из федерального бюджета</v>
      </c>
      <c r="B914" s="124">
        <v>808</v>
      </c>
      <c r="C914" s="8" t="s">
        <v>203</v>
      </c>
      <c r="D914" s="8" t="s">
        <v>222</v>
      </c>
      <c r="E914" s="124" t="s">
        <v>658</v>
      </c>
      <c r="F914" s="124"/>
      <c r="G914" s="70"/>
      <c r="H914" s="70"/>
      <c r="I914" s="70"/>
      <c r="J914" s="70"/>
      <c r="K914" s="87"/>
      <c r="L914" s="13"/>
      <c r="M914" s="87"/>
      <c r="N914" s="13"/>
      <c r="O914" s="87"/>
      <c r="P914" s="13"/>
      <c r="Q914" s="87"/>
      <c r="R914" s="13">
        <f>R915</f>
        <v>0</v>
      </c>
      <c r="S914" s="87">
        <f t="shared" si="188"/>
        <v>0</v>
      </c>
    </row>
    <row r="915" spans="1:19" s="94" customFormat="1" ht="33" hidden="1">
      <c r="A915" s="62" t="str">
        <f ca="1">IF(ISERROR(MATCH(F915,Код_КВР,0)),"",INDIRECT(ADDRESS(MATCH(F915,Код_КВР,0)+1,2,,,"КВР")))</f>
        <v>Предоставление субсидий бюджетным, автономным учреждениям и иным некоммерческим организациям</v>
      </c>
      <c r="B915" s="124">
        <v>808</v>
      </c>
      <c r="C915" s="8" t="s">
        <v>203</v>
      </c>
      <c r="D915" s="8" t="s">
        <v>222</v>
      </c>
      <c r="E915" s="124" t="s">
        <v>658</v>
      </c>
      <c r="F915" s="124">
        <v>600</v>
      </c>
      <c r="G915" s="70"/>
      <c r="H915" s="70"/>
      <c r="I915" s="70"/>
      <c r="J915" s="70"/>
      <c r="K915" s="87"/>
      <c r="L915" s="13"/>
      <c r="M915" s="87"/>
      <c r="N915" s="13"/>
      <c r="O915" s="87"/>
      <c r="P915" s="13"/>
      <c r="Q915" s="87"/>
      <c r="R915" s="13">
        <f>R916</f>
        <v>0</v>
      </c>
      <c r="S915" s="87">
        <f t="shared" si="188"/>
        <v>0</v>
      </c>
    </row>
    <row r="916" spans="1:19" s="94" customFormat="1" ht="12.75" hidden="1">
      <c r="A916" s="62" t="str">
        <f ca="1">IF(ISERROR(MATCH(F916,Код_КВР,0)),"",INDIRECT(ADDRESS(MATCH(F916,Код_КВР,0)+1,2,,,"КВР")))</f>
        <v>Субсидии бюджетным учреждениям</v>
      </c>
      <c r="B916" s="124">
        <v>808</v>
      </c>
      <c r="C916" s="8" t="s">
        <v>203</v>
      </c>
      <c r="D916" s="8" t="s">
        <v>222</v>
      </c>
      <c r="E916" s="124" t="s">
        <v>658</v>
      </c>
      <c r="F916" s="124">
        <v>610</v>
      </c>
      <c r="G916" s="70"/>
      <c r="H916" s="70"/>
      <c r="I916" s="70"/>
      <c r="J916" s="70"/>
      <c r="K916" s="87"/>
      <c r="L916" s="13"/>
      <c r="M916" s="87"/>
      <c r="N916" s="13"/>
      <c r="O916" s="87"/>
      <c r="P916" s="13"/>
      <c r="Q916" s="87"/>
      <c r="R916" s="13">
        <f>R917</f>
        <v>0</v>
      </c>
      <c r="S916" s="87">
        <f t="shared" si="188"/>
        <v>0</v>
      </c>
    </row>
    <row r="917" spans="1:19" s="94" customFormat="1" ht="24.75" customHeight="1" hidden="1">
      <c r="A917" s="62" t="str">
        <f ca="1">IF(ISERROR(MATCH(F917,Код_КВР,0)),"",INDIRECT(ADDRESS(MATCH(F917,Код_КВР,0)+1,2,,,"КВР")))</f>
        <v>Субсидии бюджетным учреждениям на иные цели</v>
      </c>
      <c r="B917" s="124">
        <v>808</v>
      </c>
      <c r="C917" s="8" t="s">
        <v>203</v>
      </c>
      <c r="D917" s="8" t="s">
        <v>222</v>
      </c>
      <c r="E917" s="124" t="s">
        <v>658</v>
      </c>
      <c r="F917" s="124">
        <v>612</v>
      </c>
      <c r="G917" s="70"/>
      <c r="H917" s="70"/>
      <c r="I917" s="70"/>
      <c r="J917" s="70"/>
      <c r="K917" s="87"/>
      <c r="L917" s="13"/>
      <c r="M917" s="87"/>
      <c r="N917" s="13"/>
      <c r="O917" s="87"/>
      <c r="P917" s="13"/>
      <c r="Q917" s="87"/>
      <c r="R917" s="13"/>
      <c r="S917" s="87">
        <f t="shared" si="188"/>
        <v>0</v>
      </c>
    </row>
    <row r="918" spans="1:19" ht="12.75">
      <c r="A918" s="12" t="s">
        <v>207</v>
      </c>
      <c r="B918" s="115">
        <v>808</v>
      </c>
      <c r="C918" s="8" t="s">
        <v>203</v>
      </c>
      <c r="D918" s="8" t="s">
        <v>203</v>
      </c>
      <c r="E918" s="115"/>
      <c r="F918" s="115"/>
      <c r="G918" s="70"/>
      <c r="H918" s="70"/>
      <c r="I918" s="70"/>
      <c r="J918" s="70">
        <f>J919</f>
        <v>73.1</v>
      </c>
      <c r="K918" s="87">
        <f t="shared" si="191"/>
        <v>73.1</v>
      </c>
      <c r="L918" s="13">
        <f>L919</f>
        <v>0</v>
      </c>
      <c r="M918" s="87">
        <f t="shared" si="182"/>
        <v>73.1</v>
      </c>
      <c r="N918" s="13">
        <f>N919</f>
        <v>0</v>
      </c>
      <c r="O918" s="87">
        <f t="shared" si="183"/>
        <v>73.1</v>
      </c>
      <c r="P918" s="13">
        <f>P919</f>
        <v>0</v>
      </c>
      <c r="Q918" s="87">
        <f t="shared" si="190"/>
        <v>73.1</v>
      </c>
      <c r="R918" s="13">
        <f>R919</f>
        <v>0</v>
      </c>
      <c r="S918" s="87">
        <f t="shared" si="188"/>
        <v>73.1</v>
      </c>
    </row>
    <row r="919" spans="1:19" ht="33">
      <c r="A919" s="62" t="str">
        <f ca="1">IF(ISERROR(MATCH(E919,Код_КЦСР,0)),"",INDIRECT(ADDRESS(MATCH(E919,Код_КЦСР,0)+1,2,,,"КЦСР")))</f>
        <v>Муниципальная программа «Социальная поддержка граждан» на 2014-2018 годы</v>
      </c>
      <c r="B919" s="115">
        <v>808</v>
      </c>
      <c r="C919" s="8" t="s">
        <v>203</v>
      </c>
      <c r="D919" s="8" t="s">
        <v>203</v>
      </c>
      <c r="E919" s="115" t="s">
        <v>6</v>
      </c>
      <c r="F919" s="115"/>
      <c r="G919" s="70"/>
      <c r="H919" s="70"/>
      <c r="I919" s="70"/>
      <c r="J919" s="70">
        <f>J920</f>
        <v>73.1</v>
      </c>
      <c r="K919" s="87">
        <f t="shared" si="191"/>
        <v>73.1</v>
      </c>
      <c r="L919" s="13">
        <f>L920</f>
        <v>0</v>
      </c>
      <c r="M919" s="87">
        <f t="shared" si="182"/>
        <v>73.1</v>
      </c>
      <c r="N919" s="13">
        <f>N920</f>
        <v>0</v>
      </c>
      <c r="O919" s="87">
        <f t="shared" si="183"/>
        <v>73.1</v>
      </c>
      <c r="P919" s="13">
        <f>P920</f>
        <v>0</v>
      </c>
      <c r="Q919" s="87">
        <f t="shared" si="190"/>
        <v>73.1</v>
      </c>
      <c r="R919" s="13">
        <f>R920</f>
        <v>0</v>
      </c>
      <c r="S919" s="87">
        <f t="shared" si="188"/>
        <v>73.1</v>
      </c>
    </row>
    <row r="920" spans="1:19" ht="82.5">
      <c r="A920" s="62" t="str">
        <f ca="1">IF(ISERROR(MATCH(E920,Код_КЦСР,0)),"",INDIRECT(ADDRESS(MATCH(E920,Код_КЦСР,0)+1,2,,,"КЦСР")))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20" s="115">
        <v>808</v>
      </c>
      <c r="C920" s="8" t="s">
        <v>203</v>
      </c>
      <c r="D920" s="8" t="s">
        <v>203</v>
      </c>
      <c r="E920" s="115" t="s">
        <v>414</v>
      </c>
      <c r="F920" s="115"/>
      <c r="G920" s="70"/>
      <c r="H920" s="70"/>
      <c r="I920" s="70"/>
      <c r="J920" s="70">
        <f>J921</f>
        <v>73.1</v>
      </c>
      <c r="K920" s="87">
        <f>I920+J920</f>
        <v>73.1</v>
      </c>
      <c r="L920" s="13">
        <f>L921</f>
        <v>0</v>
      </c>
      <c r="M920" s="87">
        <f t="shared" si="182"/>
        <v>73.1</v>
      </c>
      <c r="N920" s="13">
        <f>N921</f>
        <v>0</v>
      </c>
      <c r="O920" s="87">
        <f t="shared" si="183"/>
        <v>73.1</v>
      </c>
      <c r="P920" s="13">
        <f>P921</f>
        <v>0</v>
      </c>
      <c r="Q920" s="87">
        <f t="shared" si="190"/>
        <v>73.1</v>
      </c>
      <c r="R920" s="13">
        <f>R921</f>
        <v>0</v>
      </c>
      <c r="S920" s="87">
        <f t="shared" si="188"/>
        <v>73.1</v>
      </c>
    </row>
    <row r="921" spans="1:19" ht="33">
      <c r="A921" s="62" t="str">
        <f ca="1">IF(ISERROR(MATCH(F921,Код_КВР,0)),"",INDIRECT(ADDRESS(MATCH(F921,Код_КВР,0)+1,2,,,"КВР")))</f>
        <v>Предоставление субсидий бюджетным, автономным учреждениям и иным некоммерческим организациям</v>
      </c>
      <c r="B921" s="115">
        <v>808</v>
      </c>
      <c r="C921" s="8" t="s">
        <v>203</v>
      </c>
      <c r="D921" s="8" t="s">
        <v>203</v>
      </c>
      <c r="E921" s="115" t="s">
        <v>414</v>
      </c>
      <c r="F921" s="115">
        <v>600</v>
      </c>
      <c r="G921" s="70"/>
      <c r="H921" s="70"/>
      <c r="I921" s="70"/>
      <c r="J921" s="70">
        <f>J922</f>
        <v>73.1</v>
      </c>
      <c r="K921" s="87">
        <f>I921+J921</f>
        <v>73.1</v>
      </c>
      <c r="L921" s="13">
        <f>L922</f>
        <v>0</v>
      </c>
      <c r="M921" s="87">
        <f t="shared" si="182"/>
        <v>73.1</v>
      </c>
      <c r="N921" s="13">
        <f>N922</f>
        <v>0</v>
      </c>
      <c r="O921" s="87">
        <f t="shared" si="183"/>
        <v>73.1</v>
      </c>
      <c r="P921" s="13">
        <f>P922</f>
        <v>0</v>
      </c>
      <c r="Q921" s="87">
        <f t="shared" si="190"/>
        <v>73.1</v>
      </c>
      <c r="R921" s="13">
        <f>R922</f>
        <v>0</v>
      </c>
      <c r="S921" s="87">
        <f t="shared" si="188"/>
        <v>73.1</v>
      </c>
    </row>
    <row r="922" spans="1:19" ht="12.75">
      <c r="A922" s="62" t="str">
        <f ca="1">IF(ISERROR(MATCH(F922,Код_КВР,0)),"",INDIRECT(ADDRESS(MATCH(F922,Код_КВР,0)+1,2,,,"КВР")))</f>
        <v>Субсидии бюджетным учреждениям</v>
      </c>
      <c r="B922" s="115">
        <v>808</v>
      </c>
      <c r="C922" s="8" t="s">
        <v>203</v>
      </c>
      <c r="D922" s="8" t="s">
        <v>203</v>
      </c>
      <c r="E922" s="115" t="s">
        <v>414</v>
      </c>
      <c r="F922" s="115">
        <v>610</v>
      </c>
      <c r="G922" s="70"/>
      <c r="H922" s="70"/>
      <c r="I922" s="70"/>
      <c r="J922" s="70">
        <f>J923</f>
        <v>73.1</v>
      </c>
      <c r="K922" s="87">
        <f>I922+J922</f>
        <v>73.1</v>
      </c>
      <c r="L922" s="13">
        <f>L923</f>
        <v>0</v>
      </c>
      <c r="M922" s="87">
        <f t="shared" si="182"/>
        <v>73.1</v>
      </c>
      <c r="N922" s="13">
        <f>N923</f>
        <v>0</v>
      </c>
      <c r="O922" s="87">
        <f t="shared" si="183"/>
        <v>73.1</v>
      </c>
      <c r="P922" s="13">
        <f>P923</f>
        <v>0</v>
      </c>
      <c r="Q922" s="87">
        <f t="shared" si="190"/>
        <v>73.1</v>
      </c>
      <c r="R922" s="13">
        <f>R923</f>
        <v>0</v>
      </c>
      <c r="S922" s="87">
        <f t="shared" si="188"/>
        <v>73.1</v>
      </c>
    </row>
    <row r="923" spans="1:19" ht="12.75">
      <c r="A923" s="62" t="str">
        <f ca="1">IF(ISERROR(MATCH(F923,Код_КВР,0)),"",INDIRECT(ADDRESS(MATCH(F923,Код_КВР,0)+1,2,,,"КВР")))</f>
        <v>Субсидии бюджетным учреждениям на иные цели</v>
      </c>
      <c r="B923" s="115">
        <v>808</v>
      </c>
      <c r="C923" s="8" t="s">
        <v>203</v>
      </c>
      <c r="D923" s="8" t="s">
        <v>203</v>
      </c>
      <c r="E923" s="115" t="s">
        <v>414</v>
      </c>
      <c r="F923" s="115">
        <v>612</v>
      </c>
      <c r="G923" s="70"/>
      <c r="H923" s="70"/>
      <c r="I923" s="70"/>
      <c r="J923" s="70">
        <v>73.1</v>
      </c>
      <c r="K923" s="87">
        <f>I923+J923</f>
        <v>73.1</v>
      </c>
      <c r="L923" s="13"/>
      <c r="M923" s="87">
        <f t="shared" si="182"/>
        <v>73.1</v>
      </c>
      <c r="N923" s="13"/>
      <c r="O923" s="87">
        <f t="shared" si="183"/>
        <v>73.1</v>
      </c>
      <c r="P923" s="13"/>
      <c r="Q923" s="87">
        <f t="shared" si="190"/>
        <v>73.1</v>
      </c>
      <c r="R923" s="13"/>
      <c r="S923" s="87">
        <f t="shared" si="188"/>
        <v>73.1</v>
      </c>
    </row>
    <row r="924" spans="1:19" ht="12.75">
      <c r="A924" s="12" t="s">
        <v>259</v>
      </c>
      <c r="B924" s="115">
        <v>808</v>
      </c>
      <c r="C924" s="8" t="s">
        <v>203</v>
      </c>
      <c r="D924" s="8" t="s">
        <v>227</v>
      </c>
      <c r="E924" s="115"/>
      <c r="F924" s="115"/>
      <c r="G924" s="70">
        <f>G925+G940</f>
        <v>267</v>
      </c>
      <c r="H924" s="70">
        <f>H925+H940</f>
        <v>0</v>
      </c>
      <c r="I924" s="70">
        <f t="shared" si="181"/>
        <v>267</v>
      </c>
      <c r="J924" s="70">
        <f>J925+J940</f>
        <v>0</v>
      </c>
      <c r="K924" s="87">
        <f t="shared" si="191"/>
        <v>267</v>
      </c>
      <c r="L924" s="13">
        <f>L925+L940</f>
        <v>0</v>
      </c>
      <c r="M924" s="87">
        <f aca="true" t="shared" si="193" ref="M924:M999">K924+L924</f>
        <v>267</v>
      </c>
      <c r="N924" s="13">
        <f>N925+N940</f>
        <v>0</v>
      </c>
      <c r="O924" s="87">
        <f aca="true" t="shared" si="194" ref="O924:O999">M924+N924</f>
        <v>267</v>
      </c>
      <c r="P924" s="13">
        <f>P925+P940</f>
        <v>0</v>
      </c>
      <c r="Q924" s="87">
        <f t="shared" si="190"/>
        <v>267</v>
      </c>
      <c r="R924" s="13">
        <f>R925+R940</f>
        <v>157.9</v>
      </c>
      <c r="S924" s="87">
        <f t="shared" si="188"/>
        <v>424.9</v>
      </c>
    </row>
    <row r="925" spans="1:19" ht="33">
      <c r="A925" s="62" t="str">
        <f ca="1">IF(ISERROR(MATCH(E925,Код_КЦСР,0)),"",INDIRECT(ADDRESS(MATCH(E925,Код_КЦСР,0)+1,2,,,"КЦСР")))</f>
        <v>Муниципальная программа «Культура, традиции и народное творчество в городе Череповце» на 2013-2018 годы</v>
      </c>
      <c r="B925" s="115">
        <v>808</v>
      </c>
      <c r="C925" s="8" t="s">
        <v>203</v>
      </c>
      <c r="D925" s="8" t="s">
        <v>227</v>
      </c>
      <c r="E925" s="115" t="s">
        <v>472</v>
      </c>
      <c r="F925" s="115"/>
      <c r="G925" s="70">
        <f aca="true" t="shared" si="195" ref="G925:R929">G926</f>
        <v>76</v>
      </c>
      <c r="H925" s="70">
        <f t="shared" si="195"/>
        <v>0</v>
      </c>
      <c r="I925" s="70">
        <f t="shared" si="181"/>
        <v>76</v>
      </c>
      <c r="J925" s="70">
        <f t="shared" si="195"/>
        <v>0</v>
      </c>
      <c r="K925" s="87">
        <f t="shared" si="191"/>
        <v>76</v>
      </c>
      <c r="L925" s="13">
        <f t="shared" si="195"/>
        <v>0</v>
      </c>
      <c r="M925" s="87">
        <f t="shared" si="193"/>
        <v>76</v>
      </c>
      <c r="N925" s="13">
        <f t="shared" si="195"/>
        <v>0</v>
      </c>
      <c r="O925" s="87">
        <f t="shared" si="194"/>
        <v>76</v>
      </c>
      <c r="P925" s="13">
        <f t="shared" si="195"/>
        <v>0</v>
      </c>
      <c r="Q925" s="87">
        <f t="shared" si="190"/>
        <v>76</v>
      </c>
      <c r="R925" s="13">
        <f>R926+R931</f>
        <v>157.9</v>
      </c>
      <c r="S925" s="87">
        <f t="shared" si="188"/>
        <v>233.9</v>
      </c>
    </row>
    <row r="926" spans="1:19" ht="12.75">
      <c r="A926" s="62" t="str">
        <f ca="1">IF(ISERROR(MATCH(E926,Код_КЦСР,0)),"",INDIRECT(ADDRESS(MATCH(E926,Код_КЦСР,0)+1,2,,,"КЦСР")))</f>
        <v>Совершенствование культурно-досуговой деятельности</v>
      </c>
      <c r="B926" s="115">
        <v>808</v>
      </c>
      <c r="C926" s="8" t="s">
        <v>203</v>
      </c>
      <c r="D926" s="8" t="s">
        <v>227</v>
      </c>
      <c r="E926" s="115" t="s">
        <v>501</v>
      </c>
      <c r="F926" s="115"/>
      <c r="G926" s="70">
        <f t="shared" si="195"/>
        <v>76</v>
      </c>
      <c r="H926" s="70">
        <f t="shared" si="195"/>
        <v>0</v>
      </c>
      <c r="I926" s="70">
        <f t="shared" si="181"/>
        <v>76</v>
      </c>
      <c r="J926" s="70">
        <f t="shared" si="195"/>
        <v>0</v>
      </c>
      <c r="K926" s="87">
        <f t="shared" si="191"/>
        <v>76</v>
      </c>
      <c r="L926" s="13">
        <f t="shared" si="195"/>
        <v>0</v>
      </c>
      <c r="M926" s="87">
        <f t="shared" si="193"/>
        <v>76</v>
      </c>
      <c r="N926" s="13">
        <f t="shared" si="195"/>
        <v>0</v>
      </c>
      <c r="O926" s="87">
        <f t="shared" si="194"/>
        <v>76</v>
      </c>
      <c r="P926" s="13">
        <f t="shared" si="195"/>
        <v>0</v>
      </c>
      <c r="Q926" s="87">
        <f t="shared" si="190"/>
        <v>76</v>
      </c>
      <c r="R926" s="13">
        <f t="shared" si="195"/>
        <v>0</v>
      </c>
      <c r="S926" s="87">
        <f t="shared" si="188"/>
        <v>76</v>
      </c>
    </row>
    <row r="927" spans="1:19" ht="82.5">
      <c r="A927" s="62" t="str">
        <f ca="1">IF(ISERROR(MATCH(E927,Код_КЦСР,0)),"",INDIRECT(ADDRESS(MATCH(E927,Код_КЦСР,0)+1,2,,,"КЦСР")))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927" s="115">
        <v>808</v>
      </c>
      <c r="C927" s="8" t="s">
        <v>203</v>
      </c>
      <c r="D927" s="8" t="s">
        <v>227</v>
      </c>
      <c r="E927" s="115" t="s">
        <v>507</v>
      </c>
      <c r="F927" s="115"/>
      <c r="G927" s="70">
        <f t="shared" si="195"/>
        <v>76</v>
      </c>
      <c r="H927" s="70">
        <f t="shared" si="195"/>
        <v>0</v>
      </c>
      <c r="I927" s="70">
        <f t="shared" si="181"/>
        <v>76</v>
      </c>
      <c r="J927" s="70">
        <f t="shared" si="195"/>
        <v>0</v>
      </c>
      <c r="K927" s="87">
        <f t="shared" si="191"/>
        <v>76</v>
      </c>
      <c r="L927" s="13">
        <f t="shared" si="195"/>
        <v>0</v>
      </c>
      <c r="M927" s="87">
        <f t="shared" si="193"/>
        <v>76</v>
      </c>
      <c r="N927" s="13">
        <f t="shared" si="195"/>
        <v>0</v>
      </c>
      <c r="O927" s="87">
        <f t="shared" si="194"/>
        <v>76</v>
      </c>
      <c r="P927" s="13">
        <f t="shared" si="195"/>
        <v>0</v>
      </c>
      <c r="Q927" s="87">
        <f t="shared" si="190"/>
        <v>76</v>
      </c>
      <c r="R927" s="13">
        <f t="shared" si="195"/>
        <v>0</v>
      </c>
      <c r="S927" s="87">
        <f t="shared" si="188"/>
        <v>76</v>
      </c>
    </row>
    <row r="928" spans="1:19" ht="33">
      <c r="A928" s="62" t="str">
        <f ca="1">IF(ISERROR(MATCH(F928,Код_КВР,0)),"",INDIRECT(ADDRESS(MATCH(F928,Код_КВР,0)+1,2,,,"КВР")))</f>
        <v>Предоставление субсидий бюджетным, автономным учреждениям и иным некоммерческим организациям</v>
      </c>
      <c r="B928" s="115">
        <v>808</v>
      </c>
      <c r="C928" s="8" t="s">
        <v>203</v>
      </c>
      <c r="D928" s="8" t="s">
        <v>227</v>
      </c>
      <c r="E928" s="115" t="s">
        <v>507</v>
      </c>
      <c r="F928" s="115">
        <v>600</v>
      </c>
      <c r="G928" s="70">
        <f t="shared" si="195"/>
        <v>76</v>
      </c>
      <c r="H928" s="70">
        <f t="shared" si="195"/>
        <v>0</v>
      </c>
      <c r="I928" s="70">
        <f aca="true" t="shared" si="196" ref="I928:I1003">G928+H928</f>
        <v>76</v>
      </c>
      <c r="J928" s="70">
        <f t="shared" si="195"/>
        <v>0</v>
      </c>
      <c r="K928" s="87">
        <f t="shared" si="191"/>
        <v>76</v>
      </c>
      <c r="L928" s="13">
        <f t="shared" si="195"/>
        <v>0</v>
      </c>
      <c r="M928" s="87">
        <f t="shared" si="193"/>
        <v>76</v>
      </c>
      <c r="N928" s="13">
        <f t="shared" si="195"/>
        <v>0</v>
      </c>
      <c r="O928" s="87">
        <f t="shared" si="194"/>
        <v>76</v>
      </c>
      <c r="P928" s="13">
        <f t="shared" si="195"/>
        <v>0</v>
      </c>
      <c r="Q928" s="87">
        <f t="shared" si="190"/>
        <v>76</v>
      </c>
      <c r="R928" s="13">
        <f t="shared" si="195"/>
        <v>0</v>
      </c>
      <c r="S928" s="87">
        <f t="shared" si="188"/>
        <v>76</v>
      </c>
    </row>
    <row r="929" spans="1:19" ht="12.75">
      <c r="A929" s="62" t="str">
        <f ca="1">IF(ISERROR(MATCH(F929,Код_КВР,0)),"",INDIRECT(ADDRESS(MATCH(F929,Код_КВР,0)+1,2,,,"КВР")))</f>
        <v>Субсидии бюджетным учреждениям</v>
      </c>
      <c r="B929" s="115">
        <v>808</v>
      </c>
      <c r="C929" s="8" t="s">
        <v>203</v>
      </c>
      <c r="D929" s="8" t="s">
        <v>227</v>
      </c>
      <c r="E929" s="115" t="s">
        <v>507</v>
      </c>
      <c r="F929" s="115">
        <v>610</v>
      </c>
      <c r="G929" s="70">
        <f t="shared" si="195"/>
        <v>76</v>
      </c>
      <c r="H929" s="70">
        <f t="shared" si="195"/>
        <v>0</v>
      </c>
      <c r="I929" s="70">
        <f t="shared" si="196"/>
        <v>76</v>
      </c>
      <c r="J929" s="70">
        <f t="shared" si="195"/>
        <v>0</v>
      </c>
      <c r="K929" s="87">
        <f t="shared" si="191"/>
        <v>76</v>
      </c>
      <c r="L929" s="13">
        <f t="shared" si="195"/>
        <v>0</v>
      </c>
      <c r="M929" s="87">
        <f t="shared" si="193"/>
        <v>76</v>
      </c>
      <c r="N929" s="13">
        <f t="shared" si="195"/>
        <v>0</v>
      </c>
      <c r="O929" s="87">
        <f t="shared" si="194"/>
        <v>76</v>
      </c>
      <c r="P929" s="13">
        <f t="shared" si="195"/>
        <v>0</v>
      </c>
      <c r="Q929" s="87">
        <f t="shared" si="190"/>
        <v>76</v>
      </c>
      <c r="R929" s="13">
        <f t="shared" si="195"/>
        <v>0</v>
      </c>
      <c r="S929" s="87">
        <f t="shared" si="188"/>
        <v>76</v>
      </c>
    </row>
    <row r="930" spans="1:19" ht="12.75">
      <c r="A930" s="62" t="str">
        <f ca="1">IF(ISERROR(MATCH(F930,Код_КВР,0)),"",INDIRECT(ADDRESS(MATCH(F930,Код_КВР,0)+1,2,,,"КВР")))</f>
        <v>Субсидии бюджетным учреждениям на иные цели</v>
      </c>
      <c r="B930" s="115">
        <v>808</v>
      </c>
      <c r="C930" s="8" t="s">
        <v>203</v>
      </c>
      <c r="D930" s="8" t="s">
        <v>227</v>
      </c>
      <c r="E930" s="115" t="s">
        <v>507</v>
      </c>
      <c r="F930" s="115">
        <v>612</v>
      </c>
      <c r="G930" s="70">
        <v>76</v>
      </c>
      <c r="H930" s="70"/>
      <c r="I930" s="70">
        <f t="shared" si="196"/>
        <v>76</v>
      </c>
      <c r="J930" s="70"/>
      <c r="K930" s="87">
        <f t="shared" si="191"/>
        <v>76</v>
      </c>
      <c r="L930" s="13"/>
      <c r="M930" s="87">
        <f t="shared" si="193"/>
        <v>76</v>
      </c>
      <c r="N930" s="13"/>
      <c r="O930" s="87">
        <f t="shared" si="194"/>
        <v>76</v>
      </c>
      <c r="P930" s="13"/>
      <c r="Q930" s="87">
        <f t="shared" si="190"/>
        <v>76</v>
      </c>
      <c r="R930" s="13"/>
      <c r="S930" s="87">
        <f t="shared" si="188"/>
        <v>76</v>
      </c>
    </row>
    <row r="931" spans="1:19" s="94" customFormat="1" ht="33">
      <c r="A931" s="62" t="str">
        <f ca="1">IF(ISERROR(MATCH(E931,Код_КЦСР,0)),"",INDIRECT(ADDRESS(MATCH(E931,Код_КЦСР,0)+1,2,,,"КЦСР")))</f>
        <v>Дополнительное образование в сфере культуры и искусства, поддержка юных дарований</v>
      </c>
      <c r="B931" s="143">
        <v>808</v>
      </c>
      <c r="C931" s="8" t="s">
        <v>203</v>
      </c>
      <c r="D931" s="8" t="s">
        <v>227</v>
      </c>
      <c r="E931" s="143" t="s">
        <v>526</v>
      </c>
      <c r="F931" s="143"/>
      <c r="G931" s="70"/>
      <c r="H931" s="70"/>
      <c r="I931" s="70"/>
      <c r="J931" s="70"/>
      <c r="K931" s="87"/>
      <c r="L931" s="13"/>
      <c r="M931" s="87"/>
      <c r="N931" s="13"/>
      <c r="O931" s="87"/>
      <c r="P931" s="13"/>
      <c r="Q931" s="87"/>
      <c r="R931" s="13">
        <f>R932+R936</f>
        <v>157.9</v>
      </c>
      <c r="S931" s="87">
        <f t="shared" si="188"/>
        <v>157.9</v>
      </c>
    </row>
    <row r="932" spans="1:19" s="94" customFormat="1" ht="60.75" customHeight="1">
      <c r="A932" s="62" t="str">
        <f ca="1">IF(ISERROR(MATCH(E932,Код_КЦСР,0)),"",INDIRECT(ADDRESS(MATCH(E932,Код_КЦСР,0)+1,2,,,"КЦСР")))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32" s="143">
        <v>808</v>
      </c>
      <c r="C932" s="8" t="s">
        <v>203</v>
      </c>
      <c r="D932" s="8" t="s">
        <v>227</v>
      </c>
      <c r="E932" s="143" t="s">
        <v>528</v>
      </c>
      <c r="F932" s="143"/>
      <c r="G932" s="70"/>
      <c r="H932" s="70"/>
      <c r="I932" s="70"/>
      <c r="J932" s="70"/>
      <c r="K932" s="87"/>
      <c r="L932" s="13"/>
      <c r="M932" s="87"/>
      <c r="N932" s="13"/>
      <c r="O932" s="87"/>
      <c r="P932" s="13"/>
      <c r="Q932" s="87"/>
      <c r="R932" s="13">
        <f>R933</f>
        <v>7.9</v>
      </c>
      <c r="S932" s="87">
        <f t="shared" si="188"/>
        <v>7.9</v>
      </c>
    </row>
    <row r="933" spans="1:19" s="94" customFormat="1" ht="33">
      <c r="A933" s="62" t="str">
        <f ca="1">IF(ISERROR(MATCH(F933,Код_КВР,0)),"",INDIRECT(ADDRESS(MATCH(F933,Код_КВР,0)+1,2,,,"КВР")))</f>
        <v>Предоставление субсидий бюджетным, автономным учреждениям и иным некоммерческим организациям</v>
      </c>
      <c r="B933" s="143">
        <v>808</v>
      </c>
      <c r="C933" s="8" t="s">
        <v>203</v>
      </c>
      <c r="D933" s="8" t="s">
        <v>227</v>
      </c>
      <c r="E933" s="143" t="s">
        <v>528</v>
      </c>
      <c r="F933" s="143">
        <v>600</v>
      </c>
      <c r="G933" s="70"/>
      <c r="H933" s="70"/>
      <c r="I933" s="70"/>
      <c r="J933" s="70"/>
      <c r="K933" s="87"/>
      <c r="L933" s="13"/>
      <c r="M933" s="87"/>
      <c r="N933" s="13"/>
      <c r="O933" s="87"/>
      <c r="P933" s="13"/>
      <c r="Q933" s="87"/>
      <c r="R933" s="13">
        <f>R934</f>
        <v>7.9</v>
      </c>
      <c r="S933" s="87">
        <f t="shared" si="188"/>
        <v>7.9</v>
      </c>
    </row>
    <row r="934" spans="1:19" s="94" customFormat="1" ht="12.75">
      <c r="A934" s="62" t="str">
        <f ca="1">IF(ISERROR(MATCH(F934,Код_КВР,0)),"",INDIRECT(ADDRESS(MATCH(F934,Код_КВР,0)+1,2,,,"КВР")))</f>
        <v>Субсидии бюджетным учреждениям</v>
      </c>
      <c r="B934" s="143">
        <v>808</v>
      </c>
      <c r="C934" s="8" t="s">
        <v>203</v>
      </c>
      <c r="D934" s="8" t="s">
        <v>227</v>
      </c>
      <c r="E934" s="143" t="s">
        <v>528</v>
      </c>
      <c r="F934" s="143">
        <v>610</v>
      </c>
      <c r="G934" s="70"/>
      <c r="H934" s="70"/>
      <c r="I934" s="70"/>
      <c r="J934" s="70"/>
      <c r="K934" s="87"/>
      <c r="L934" s="13"/>
      <c r="M934" s="87"/>
      <c r="N934" s="13"/>
      <c r="O934" s="87"/>
      <c r="P934" s="13"/>
      <c r="Q934" s="87"/>
      <c r="R934" s="13">
        <f>R935</f>
        <v>7.9</v>
      </c>
      <c r="S934" s="87">
        <f t="shared" si="188"/>
        <v>7.9</v>
      </c>
    </row>
    <row r="935" spans="1:19" s="94" customFormat="1" ht="12.75">
      <c r="A935" s="62" t="str">
        <f ca="1">IF(ISERROR(MATCH(F935,Код_КВР,0)),"",INDIRECT(ADDRESS(MATCH(F935,Код_КВР,0)+1,2,,,"КВР")))</f>
        <v>Субсидии бюджетным учреждениям на иные цели</v>
      </c>
      <c r="B935" s="143">
        <v>808</v>
      </c>
      <c r="C935" s="8" t="s">
        <v>203</v>
      </c>
      <c r="D935" s="8" t="s">
        <v>227</v>
      </c>
      <c r="E935" s="143" t="s">
        <v>528</v>
      </c>
      <c r="F935" s="143">
        <v>612</v>
      </c>
      <c r="G935" s="70"/>
      <c r="H935" s="70"/>
      <c r="I935" s="70"/>
      <c r="J935" s="70"/>
      <c r="K935" s="87"/>
      <c r="L935" s="13"/>
      <c r="M935" s="87"/>
      <c r="N935" s="13"/>
      <c r="O935" s="87"/>
      <c r="P935" s="13"/>
      <c r="Q935" s="87"/>
      <c r="R935" s="13">
        <v>7.9</v>
      </c>
      <c r="S935" s="87">
        <f t="shared" si="188"/>
        <v>7.9</v>
      </c>
    </row>
    <row r="936" spans="1:19" s="94" customFormat="1" ht="33">
      <c r="A936" s="62" t="str">
        <f ca="1">IF(ISERROR(MATCH(E936,Код_КЦСР,0)),"",INDIRECT(ADDRESS(MATCH(E936,Код_КЦСР,0)+1,2,,,"КЦСР")))</f>
        <v>Реализация мероприятий федеральной целевой программы "Культура России" (2012-2018 годы) за счет субсидий из федерального бюджета</v>
      </c>
      <c r="B936" s="144">
        <v>808</v>
      </c>
      <c r="C936" s="8" t="s">
        <v>203</v>
      </c>
      <c r="D936" s="8" t="s">
        <v>227</v>
      </c>
      <c r="E936" s="144" t="s">
        <v>658</v>
      </c>
      <c r="F936" s="144"/>
      <c r="G936" s="70"/>
      <c r="H936" s="70"/>
      <c r="I936" s="70"/>
      <c r="J936" s="70"/>
      <c r="K936" s="87"/>
      <c r="L936" s="13"/>
      <c r="M936" s="87"/>
      <c r="N936" s="13"/>
      <c r="O936" s="87"/>
      <c r="P936" s="13"/>
      <c r="Q936" s="87"/>
      <c r="R936" s="13">
        <f>R937</f>
        <v>150</v>
      </c>
      <c r="S936" s="87">
        <f t="shared" si="188"/>
        <v>150</v>
      </c>
    </row>
    <row r="937" spans="1:19" s="94" customFormat="1" ht="33">
      <c r="A937" s="62" t="str">
        <f ca="1">IF(ISERROR(MATCH(F937,Код_КВР,0)),"",INDIRECT(ADDRESS(MATCH(F937,Код_КВР,0)+1,2,,,"КВР")))</f>
        <v>Предоставление субсидий бюджетным, автономным учреждениям и иным некоммерческим организациям</v>
      </c>
      <c r="B937" s="144">
        <v>808</v>
      </c>
      <c r="C937" s="8" t="s">
        <v>203</v>
      </c>
      <c r="D937" s="8" t="s">
        <v>227</v>
      </c>
      <c r="E937" s="144" t="s">
        <v>658</v>
      </c>
      <c r="F937" s="144">
        <v>600</v>
      </c>
      <c r="G937" s="70"/>
      <c r="H937" s="70"/>
      <c r="I937" s="70"/>
      <c r="J937" s="70"/>
      <c r="K937" s="87"/>
      <c r="L937" s="13"/>
      <c r="M937" s="87"/>
      <c r="N937" s="13"/>
      <c r="O937" s="87"/>
      <c r="P937" s="13"/>
      <c r="Q937" s="87"/>
      <c r="R937" s="13">
        <f>R938</f>
        <v>150</v>
      </c>
      <c r="S937" s="87">
        <f t="shared" si="188"/>
        <v>150</v>
      </c>
    </row>
    <row r="938" spans="1:19" s="94" customFormat="1" ht="12.75">
      <c r="A938" s="62" t="str">
        <f ca="1">IF(ISERROR(MATCH(F938,Код_КВР,0)),"",INDIRECT(ADDRESS(MATCH(F938,Код_КВР,0)+1,2,,,"КВР")))</f>
        <v>Субсидии бюджетным учреждениям</v>
      </c>
      <c r="B938" s="144">
        <v>808</v>
      </c>
      <c r="C938" s="8" t="s">
        <v>203</v>
      </c>
      <c r="D938" s="8" t="s">
        <v>227</v>
      </c>
      <c r="E938" s="144" t="s">
        <v>658</v>
      </c>
      <c r="F938" s="144">
        <v>610</v>
      </c>
      <c r="G938" s="70"/>
      <c r="H938" s="70"/>
      <c r="I938" s="70"/>
      <c r="J938" s="70"/>
      <c r="K938" s="87"/>
      <c r="L938" s="13"/>
      <c r="M938" s="87"/>
      <c r="N938" s="13"/>
      <c r="O938" s="87"/>
      <c r="P938" s="13"/>
      <c r="Q938" s="87"/>
      <c r="R938" s="13">
        <f>R939</f>
        <v>150</v>
      </c>
      <c r="S938" s="87">
        <f t="shared" si="188"/>
        <v>150</v>
      </c>
    </row>
    <row r="939" spans="1:19" s="94" customFormat="1" ht="12.75">
      <c r="A939" s="62" t="str">
        <f ca="1">IF(ISERROR(MATCH(F939,Код_КВР,0)),"",INDIRECT(ADDRESS(MATCH(F939,Код_КВР,0)+1,2,,,"КВР")))</f>
        <v>Субсидии бюджетным учреждениям на иные цели</v>
      </c>
      <c r="B939" s="144">
        <v>808</v>
      </c>
      <c r="C939" s="8" t="s">
        <v>203</v>
      </c>
      <c r="D939" s="8" t="s">
        <v>227</v>
      </c>
      <c r="E939" s="144" t="s">
        <v>658</v>
      </c>
      <c r="F939" s="144">
        <v>612</v>
      </c>
      <c r="G939" s="70"/>
      <c r="H939" s="70"/>
      <c r="I939" s="70"/>
      <c r="J939" s="70"/>
      <c r="K939" s="87"/>
      <c r="L939" s="13"/>
      <c r="M939" s="87"/>
      <c r="N939" s="13"/>
      <c r="O939" s="87"/>
      <c r="P939" s="13"/>
      <c r="Q939" s="87"/>
      <c r="R939" s="13">
        <v>150</v>
      </c>
      <c r="S939" s="87">
        <f t="shared" si="188"/>
        <v>150</v>
      </c>
    </row>
    <row r="940" spans="1:19" ht="33">
      <c r="A940" s="62" t="str">
        <f ca="1">IF(ISERROR(MATCH(E940,Код_КЦСР,0)),"",INDIRECT(ADDRESS(MATCH(E940,Код_КЦСР,0)+1,2,,,"КЦСР")))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40" s="115">
        <v>808</v>
      </c>
      <c r="C940" s="8" t="s">
        <v>203</v>
      </c>
      <c r="D940" s="8" t="s">
        <v>227</v>
      </c>
      <c r="E940" s="115" t="s">
        <v>81</v>
      </c>
      <c r="F940" s="115"/>
      <c r="G940" s="70">
        <f>G941</f>
        <v>191</v>
      </c>
      <c r="H940" s="70">
        <f>H941</f>
        <v>0</v>
      </c>
      <c r="I940" s="70">
        <f t="shared" si="196"/>
        <v>191</v>
      </c>
      <c r="J940" s="70">
        <f>J941</f>
        <v>0</v>
      </c>
      <c r="K940" s="87">
        <f t="shared" si="191"/>
        <v>191</v>
      </c>
      <c r="L940" s="13">
        <f>L941</f>
        <v>0</v>
      </c>
      <c r="M940" s="87">
        <f t="shared" si="193"/>
        <v>191</v>
      </c>
      <c r="N940" s="13">
        <f>N941</f>
        <v>0</v>
      </c>
      <c r="O940" s="87">
        <f t="shared" si="194"/>
        <v>191</v>
      </c>
      <c r="P940" s="13">
        <f>P941</f>
        <v>0</v>
      </c>
      <c r="Q940" s="87">
        <f t="shared" si="190"/>
        <v>191</v>
      </c>
      <c r="R940" s="13">
        <f>R941</f>
        <v>0</v>
      </c>
      <c r="S940" s="87">
        <f t="shared" si="188"/>
        <v>191</v>
      </c>
    </row>
    <row r="941" spans="1:19" ht="12.75">
      <c r="A941" s="62" t="str">
        <f ca="1">IF(ISERROR(MATCH(E941,Код_КЦСР,0)),"",INDIRECT(ADDRESS(MATCH(E941,Код_КЦСР,0)+1,2,,,"КЦСР")))</f>
        <v>Обеспечение пожарной безопасности муниципальных учреждений города</v>
      </c>
      <c r="B941" s="115">
        <v>808</v>
      </c>
      <c r="C941" s="8" t="s">
        <v>203</v>
      </c>
      <c r="D941" s="8" t="s">
        <v>227</v>
      </c>
      <c r="E941" s="115" t="s">
        <v>83</v>
      </c>
      <c r="F941" s="115"/>
      <c r="G941" s="70">
        <f>G942+G946</f>
        <v>191</v>
      </c>
      <c r="H941" s="70">
        <f>H942+H946</f>
        <v>0</v>
      </c>
      <c r="I941" s="70">
        <f t="shared" si="196"/>
        <v>191</v>
      </c>
      <c r="J941" s="70">
        <f>J942+J946</f>
        <v>0</v>
      </c>
      <c r="K941" s="87">
        <f t="shared" si="191"/>
        <v>191</v>
      </c>
      <c r="L941" s="13">
        <f>L942+L946</f>
        <v>0</v>
      </c>
      <c r="M941" s="87">
        <f t="shared" si="193"/>
        <v>191</v>
      </c>
      <c r="N941" s="13">
        <f>N942+N946</f>
        <v>0</v>
      </c>
      <c r="O941" s="87">
        <f t="shared" si="194"/>
        <v>191</v>
      </c>
      <c r="P941" s="13">
        <f>P942+P946</f>
        <v>0</v>
      </c>
      <c r="Q941" s="87">
        <f t="shared" si="190"/>
        <v>191</v>
      </c>
      <c r="R941" s="13">
        <f>R942+R946</f>
        <v>0</v>
      </c>
      <c r="S941" s="87">
        <f t="shared" si="188"/>
        <v>191</v>
      </c>
    </row>
    <row r="942" spans="1:19" ht="49.5">
      <c r="A942" s="62" t="str">
        <f ca="1">IF(ISERROR(MATCH(E942,Код_КЦСР,0)),"",INDIRECT(ADDRESS(MATCH(E942,Код_КЦСР,0)+1,2,,,"КЦСР")))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42" s="115">
        <v>808</v>
      </c>
      <c r="C942" s="8" t="s">
        <v>203</v>
      </c>
      <c r="D942" s="8" t="s">
        <v>227</v>
      </c>
      <c r="E942" s="115" t="s">
        <v>85</v>
      </c>
      <c r="F942" s="115"/>
      <c r="G942" s="70">
        <f aca="true" t="shared" si="197" ref="G942:R944">G943</f>
        <v>191</v>
      </c>
      <c r="H942" s="70">
        <f t="shared" si="197"/>
        <v>0</v>
      </c>
      <c r="I942" s="70">
        <f t="shared" si="196"/>
        <v>191</v>
      </c>
      <c r="J942" s="70">
        <f t="shared" si="197"/>
        <v>0</v>
      </c>
      <c r="K942" s="87">
        <f t="shared" si="191"/>
        <v>191</v>
      </c>
      <c r="L942" s="13">
        <f t="shared" si="197"/>
        <v>0</v>
      </c>
      <c r="M942" s="87">
        <f t="shared" si="193"/>
        <v>191</v>
      </c>
      <c r="N942" s="13">
        <f t="shared" si="197"/>
        <v>0</v>
      </c>
      <c r="O942" s="87">
        <f t="shared" si="194"/>
        <v>191</v>
      </c>
      <c r="P942" s="13">
        <f t="shared" si="197"/>
        <v>0</v>
      </c>
      <c r="Q942" s="87">
        <f t="shared" si="190"/>
        <v>191</v>
      </c>
      <c r="R942" s="13">
        <f t="shared" si="197"/>
        <v>0</v>
      </c>
      <c r="S942" s="87">
        <f t="shared" si="188"/>
        <v>191</v>
      </c>
    </row>
    <row r="943" spans="1:19" ht="33">
      <c r="A943" s="62" t="str">
        <f ca="1">IF(ISERROR(MATCH(F943,Код_КВР,0)),"",INDIRECT(ADDRESS(MATCH(F943,Код_КВР,0)+1,2,,,"КВР")))</f>
        <v>Предоставление субсидий бюджетным, автономным учреждениям и иным некоммерческим организациям</v>
      </c>
      <c r="B943" s="115">
        <v>808</v>
      </c>
      <c r="C943" s="8" t="s">
        <v>203</v>
      </c>
      <c r="D943" s="8" t="s">
        <v>227</v>
      </c>
      <c r="E943" s="115" t="s">
        <v>85</v>
      </c>
      <c r="F943" s="115">
        <v>600</v>
      </c>
      <c r="G943" s="70">
        <f t="shared" si="197"/>
        <v>191</v>
      </c>
      <c r="H943" s="70">
        <f t="shared" si="197"/>
        <v>0</v>
      </c>
      <c r="I943" s="70">
        <f t="shared" si="196"/>
        <v>191</v>
      </c>
      <c r="J943" s="70">
        <f t="shared" si="197"/>
        <v>0</v>
      </c>
      <c r="K943" s="87">
        <f t="shared" si="191"/>
        <v>191</v>
      </c>
      <c r="L943" s="13">
        <f t="shared" si="197"/>
        <v>0</v>
      </c>
      <c r="M943" s="87">
        <f t="shared" si="193"/>
        <v>191</v>
      </c>
      <c r="N943" s="13">
        <f t="shared" si="197"/>
        <v>0</v>
      </c>
      <c r="O943" s="87">
        <f t="shared" si="194"/>
        <v>191</v>
      </c>
      <c r="P943" s="13">
        <f t="shared" si="197"/>
        <v>0</v>
      </c>
      <c r="Q943" s="87">
        <f t="shared" si="190"/>
        <v>191</v>
      </c>
      <c r="R943" s="13">
        <f t="shared" si="197"/>
        <v>0</v>
      </c>
      <c r="S943" s="87">
        <f t="shared" si="188"/>
        <v>191</v>
      </c>
    </row>
    <row r="944" spans="1:19" ht="12.75">
      <c r="A944" s="62" t="str">
        <f ca="1">IF(ISERROR(MATCH(F944,Код_КВР,0)),"",INDIRECT(ADDRESS(MATCH(F944,Код_КВР,0)+1,2,,,"КВР")))</f>
        <v>Субсидии бюджетным учреждениям</v>
      </c>
      <c r="B944" s="115">
        <v>808</v>
      </c>
      <c r="C944" s="8" t="s">
        <v>203</v>
      </c>
      <c r="D944" s="8" t="s">
        <v>227</v>
      </c>
      <c r="E944" s="115" t="s">
        <v>85</v>
      </c>
      <c r="F944" s="115">
        <v>610</v>
      </c>
      <c r="G944" s="70">
        <f t="shared" si="197"/>
        <v>191</v>
      </c>
      <c r="H944" s="70">
        <f t="shared" si="197"/>
        <v>0</v>
      </c>
      <c r="I944" s="70">
        <f t="shared" si="196"/>
        <v>191</v>
      </c>
      <c r="J944" s="70">
        <f t="shared" si="197"/>
        <v>0</v>
      </c>
      <c r="K944" s="87">
        <f t="shared" si="191"/>
        <v>191</v>
      </c>
      <c r="L944" s="13">
        <f t="shared" si="197"/>
        <v>0</v>
      </c>
      <c r="M944" s="87">
        <f t="shared" si="193"/>
        <v>191</v>
      </c>
      <c r="N944" s="13">
        <f t="shared" si="197"/>
        <v>0</v>
      </c>
      <c r="O944" s="87">
        <f t="shared" si="194"/>
        <v>191</v>
      </c>
      <c r="P944" s="13">
        <f t="shared" si="197"/>
        <v>0</v>
      </c>
      <c r="Q944" s="87">
        <f t="shared" si="190"/>
        <v>191</v>
      </c>
      <c r="R944" s="13">
        <f t="shared" si="197"/>
        <v>0</v>
      </c>
      <c r="S944" s="87">
        <f t="shared" si="188"/>
        <v>191</v>
      </c>
    </row>
    <row r="945" spans="1:19" ht="12.75">
      <c r="A945" s="62" t="str">
        <f ca="1">IF(ISERROR(MATCH(F945,Код_КВР,0)),"",INDIRECT(ADDRESS(MATCH(F945,Код_КВР,0)+1,2,,,"КВР")))</f>
        <v>Субсидии бюджетным учреждениям на иные цели</v>
      </c>
      <c r="B945" s="115">
        <v>808</v>
      </c>
      <c r="C945" s="8" t="s">
        <v>203</v>
      </c>
      <c r="D945" s="8" t="s">
        <v>227</v>
      </c>
      <c r="E945" s="115" t="s">
        <v>85</v>
      </c>
      <c r="F945" s="115">
        <v>612</v>
      </c>
      <c r="G945" s="70">
        <v>191</v>
      </c>
      <c r="H945" s="70"/>
      <c r="I945" s="70">
        <f t="shared" si="196"/>
        <v>191</v>
      </c>
      <c r="J945" s="70"/>
      <c r="K945" s="87">
        <f t="shared" si="191"/>
        <v>191</v>
      </c>
      <c r="L945" s="13"/>
      <c r="M945" s="87">
        <f t="shared" si="193"/>
        <v>191</v>
      </c>
      <c r="N945" s="13"/>
      <c r="O945" s="87">
        <f t="shared" si="194"/>
        <v>191</v>
      </c>
      <c r="P945" s="13"/>
      <c r="Q945" s="87">
        <f t="shared" si="190"/>
        <v>191</v>
      </c>
      <c r="R945" s="13"/>
      <c r="S945" s="87">
        <f t="shared" si="188"/>
        <v>191</v>
      </c>
    </row>
    <row r="946" spans="1:19" ht="12.75" hidden="1">
      <c r="A946" s="62" t="str">
        <f ca="1">IF(ISERROR(MATCH(E946,Код_КЦСР,0)),"",INDIRECT(ADDRESS(MATCH(E946,Код_КЦСР,0)+1,2,,,"КЦСР")))</f>
        <v>Ремонт и оборудование эвакуационных путей  зданий</v>
      </c>
      <c r="B946" s="115">
        <v>808</v>
      </c>
      <c r="C946" s="8" t="s">
        <v>203</v>
      </c>
      <c r="D946" s="8" t="s">
        <v>227</v>
      </c>
      <c r="E946" s="115" t="s">
        <v>89</v>
      </c>
      <c r="F946" s="115"/>
      <c r="G946" s="70">
        <f aca="true" t="shared" si="198" ref="G946:R948">G947</f>
        <v>0</v>
      </c>
      <c r="H946" s="70">
        <f t="shared" si="198"/>
        <v>0</v>
      </c>
      <c r="I946" s="70">
        <f t="shared" si="196"/>
        <v>0</v>
      </c>
      <c r="J946" s="70">
        <f t="shared" si="198"/>
        <v>0</v>
      </c>
      <c r="K946" s="87">
        <f t="shared" si="191"/>
        <v>0</v>
      </c>
      <c r="L946" s="13">
        <f t="shared" si="198"/>
        <v>0</v>
      </c>
      <c r="M946" s="87">
        <f t="shared" si="193"/>
        <v>0</v>
      </c>
      <c r="N946" s="13">
        <f t="shared" si="198"/>
        <v>0</v>
      </c>
      <c r="O946" s="87">
        <f t="shared" si="194"/>
        <v>0</v>
      </c>
      <c r="P946" s="13">
        <f t="shared" si="198"/>
        <v>0</v>
      </c>
      <c r="Q946" s="87">
        <f t="shared" si="190"/>
        <v>0</v>
      </c>
      <c r="R946" s="13">
        <f t="shared" si="198"/>
        <v>0</v>
      </c>
      <c r="S946" s="87">
        <f t="shared" si="188"/>
        <v>0</v>
      </c>
    </row>
    <row r="947" spans="1:19" ht="33" hidden="1">
      <c r="A947" s="62" t="str">
        <f ca="1">IF(ISERROR(MATCH(F947,Код_КВР,0)),"",INDIRECT(ADDRESS(MATCH(F947,Код_КВР,0)+1,2,,,"КВР")))</f>
        <v>Предоставление субсидий бюджетным, автономным учреждениям и иным некоммерческим организациям</v>
      </c>
      <c r="B947" s="115">
        <v>808</v>
      </c>
      <c r="C947" s="8" t="s">
        <v>203</v>
      </c>
      <c r="D947" s="8" t="s">
        <v>227</v>
      </c>
      <c r="E947" s="115" t="s">
        <v>89</v>
      </c>
      <c r="F947" s="115">
        <v>600</v>
      </c>
      <c r="G947" s="70">
        <f t="shared" si="198"/>
        <v>0</v>
      </c>
      <c r="H947" s="70">
        <f t="shared" si="198"/>
        <v>0</v>
      </c>
      <c r="I947" s="70">
        <f t="shared" si="196"/>
        <v>0</v>
      </c>
      <c r="J947" s="70">
        <f t="shared" si="198"/>
        <v>0</v>
      </c>
      <c r="K947" s="87">
        <f t="shared" si="191"/>
        <v>0</v>
      </c>
      <c r="L947" s="13">
        <f t="shared" si="198"/>
        <v>0</v>
      </c>
      <c r="M947" s="87">
        <f t="shared" si="193"/>
        <v>0</v>
      </c>
      <c r="N947" s="13">
        <f t="shared" si="198"/>
        <v>0</v>
      </c>
      <c r="O947" s="87">
        <f t="shared" si="194"/>
        <v>0</v>
      </c>
      <c r="P947" s="13">
        <f t="shared" si="198"/>
        <v>0</v>
      </c>
      <c r="Q947" s="87">
        <f t="shared" si="190"/>
        <v>0</v>
      </c>
      <c r="R947" s="13">
        <f t="shared" si="198"/>
        <v>0</v>
      </c>
      <c r="S947" s="87">
        <f t="shared" si="188"/>
        <v>0</v>
      </c>
    </row>
    <row r="948" spans="1:19" ht="12.75" hidden="1">
      <c r="A948" s="62" t="str">
        <f ca="1">IF(ISERROR(MATCH(F948,Код_КВР,0)),"",INDIRECT(ADDRESS(MATCH(F948,Код_КВР,0)+1,2,,,"КВР")))</f>
        <v>Субсидии бюджетным учреждениям</v>
      </c>
      <c r="B948" s="115">
        <v>808</v>
      </c>
      <c r="C948" s="8" t="s">
        <v>203</v>
      </c>
      <c r="D948" s="8" t="s">
        <v>227</v>
      </c>
      <c r="E948" s="115" t="s">
        <v>89</v>
      </c>
      <c r="F948" s="115">
        <v>610</v>
      </c>
      <c r="G948" s="70">
        <f t="shared" si="198"/>
        <v>0</v>
      </c>
      <c r="H948" s="70">
        <f t="shared" si="198"/>
        <v>0</v>
      </c>
      <c r="I948" s="70">
        <f t="shared" si="196"/>
        <v>0</v>
      </c>
      <c r="J948" s="70">
        <f t="shared" si="198"/>
        <v>0</v>
      </c>
      <c r="K948" s="87">
        <f t="shared" si="191"/>
        <v>0</v>
      </c>
      <c r="L948" s="13">
        <f t="shared" si="198"/>
        <v>0</v>
      </c>
      <c r="M948" s="87">
        <f t="shared" si="193"/>
        <v>0</v>
      </c>
      <c r="N948" s="13">
        <f t="shared" si="198"/>
        <v>0</v>
      </c>
      <c r="O948" s="87">
        <f t="shared" si="194"/>
        <v>0</v>
      </c>
      <c r="P948" s="13">
        <f t="shared" si="198"/>
        <v>0</v>
      </c>
      <c r="Q948" s="87">
        <f t="shared" si="190"/>
        <v>0</v>
      </c>
      <c r="R948" s="13">
        <f t="shared" si="198"/>
        <v>0</v>
      </c>
      <c r="S948" s="87">
        <f t="shared" si="188"/>
        <v>0</v>
      </c>
    </row>
    <row r="949" spans="1:19" ht="12.75" hidden="1">
      <c r="A949" s="62" t="str">
        <f ca="1">IF(ISERROR(MATCH(F949,Код_КВР,0)),"",INDIRECT(ADDRESS(MATCH(F949,Код_КВР,0)+1,2,,,"КВР")))</f>
        <v>Субсидии бюджетным учреждениям на иные цели</v>
      </c>
      <c r="B949" s="115">
        <v>808</v>
      </c>
      <c r="C949" s="8" t="s">
        <v>203</v>
      </c>
      <c r="D949" s="8" t="s">
        <v>227</v>
      </c>
      <c r="E949" s="115" t="s">
        <v>89</v>
      </c>
      <c r="F949" s="115">
        <v>612</v>
      </c>
      <c r="G949" s="70"/>
      <c r="H949" s="70"/>
      <c r="I949" s="70">
        <f t="shared" si="196"/>
        <v>0</v>
      </c>
      <c r="J949" s="70"/>
      <c r="K949" s="87">
        <f t="shared" si="191"/>
        <v>0</v>
      </c>
      <c r="L949" s="13"/>
      <c r="M949" s="87">
        <f t="shared" si="193"/>
        <v>0</v>
      </c>
      <c r="N949" s="13"/>
      <c r="O949" s="87">
        <f t="shared" si="194"/>
        <v>0</v>
      </c>
      <c r="P949" s="13"/>
      <c r="Q949" s="87">
        <f t="shared" si="190"/>
        <v>0</v>
      </c>
      <c r="R949" s="13"/>
      <c r="S949" s="87">
        <f t="shared" si="188"/>
        <v>0</v>
      </c>
    </row>
    <row r="950" spans="1:19" ht="12.75">
      <c r="A950" s="62" t="str">
        <f ca="1">IF(ISERROR(MATCH(C950,Код_Раздел,0)),"",INDIRECT(ADDRESS(MATCH(C950,Код_Раздел,0)+1,2,,,"Раздел")))</f>
        <v>Культура, кинематография</v>
      </c>
      <c r="B950" s="115">
        <v>808</v>
      </c>
      <c r="C950" s="8" t="s">
        <v>230</v>
      </c>
      <c r="D950" s="8"/>
      <c r="E950" s="115"/>
      <c r="F950" s="115"/>
      <c r="G950" s="70">
        <f>G951+G1023</f>
        <v>260483</v>
      </c>
      <c r="H950" s="70">
        <f>H951+H1023</f>
        <v>0</v>
      </c>
      <c r="I950" s="70">
        <f t="shared" si="196"/>
        <v>260483</v>
      </c>
      <c r="J950" s="70">
        <f>J951+J1023</f>
        <v>-443.79999999999995</v>
      </c>
      <c r="K950" s="87">
        <f t="shared" si="191"/>
        <v>260039.2</v>
      </c>
      <c r="L950" s="13">
        <f>L951+L1023</f>
        <v>-186.20000000000002</v>
      </c>
      <c r="M950" s="87">
        <f t="shared" si="193"/>
        <v>259853</v>
      </c>
      <c r="N950" s="13">
        <f>N951+N1023</f>
        <v>0</v>
      </c>
      <c r="O950" s="87">
        <f t="shared" si="194"/>
        <v>259853</v>
      </c>
      <c r="P950" s="13">
        <f>P951+P1023</f>
        <v>140.2</v>
      </c>
      <c r="Q950" s="87">
        <f t="shared" si="190"/>
        <v>259993.2</v>
      </c>
      <c r="R950" s="13">
        <f>R951+R1023</f>
        <v>-10338.1</v>
      </c>
      <c r="S950" s="87">
        <f t="shared" si="188"/>
        <v>249655.1</v>
      </c>
    </row>
    <row r="951" spans="1:19" ht="12.75">
      <c r="A951" s="12" t="s">
        <v>192</v>
      </c>
      <c r="B951" s="115">
        <v>808</v>
      </c>
      <c r="C951" s="8" t="s">
        <v>230</v>
      </c>
      <c r="D951" s="8" t="s">
        <v>221</v>
      </c>
      <c r="E951" s="115"/>
      <c r="F951" s="115"/>
      <c r="G951" s="70">
        <f>G952</f>
        <v>233756</v>
      </c>
      <c r="H951" s="70">
        <f>H952</f>
        <v>0</v>
      </c>
      <c r="I951" s="70">
        <f t="shared" si="196"/>
        <v>233756</v>
      </c>
      <c r="J951" s="70">
        <f>J952+J1017</f>
        <v>-479.79999999999995</v>
      </c>
      <c r="K951" s="87">
        <f t="shared" si="191"/>
        <v>233276.2</v>
      </c>
      <c r="L951" s="13">
        <f>L952+L1017</f>
        <v>-184.4</v>
      </c>
      <c r="M951" s="87">
        <f t="shared" si="193"/>
        <v>233091.80000000002</v>
      </c>
      <c r="N951" s="13">
        <f>N952+N1017</f>
        <v>0</v>
      </c>
      <c r="O951" s="87">
        <f t="shared" si="194"/>
        <v>233091.80000000002</v>
      </c>
      <c r="P951" s="13">
        <f>P952+P1017</f>
        <v>140.2</v>
      </c>
      <c r="Q951" s="87">
        <f t="shared" si="190"/>
        <v>233232.00000000003</v>
      </c>
      <c r="R951" s="13">
        <f>R952+R1017</f>
        <v>-10338.1</v>
      </c>
      <c r="S951" s="87">
        <f t="shared" si="188"/>
        <v>222893.90000000002</v>
      </c>
    </row>
    <row r="952" spans="1:19" ht="33">
      <c r="A952" s="62" t="str">
        <f ca="1">IF(ISERROR(MATCH(E952,Код_КЦСР,0)),"",INDIRECT(ADDRESS(MATCH(E952,Код_КЦСР,0)+1,2,,,"КЦСР")))</f>
        <v>Муниципальная программа «Культура, традиции и народное творчество в городе Череповце» на 2013-2018 годы</v>
      </c>
      <c r="B952" s="115">
        <v>808</v>
      </c>
      <c r="C952" s="8" t="s">
        <v>230</v>
      </c>
      <c r="D952" s="8" t="s">
        <v>221</v>
      </c>
      <c r="E952" s="115" t="s">
        <v>472</v>
      </c>
      <c r="F952" s="115"/>
      <c r="G952" s="70">
        <f>G953+G961+G974+G991+G1000+G1007+G1012</f>
        <v>233756</v>
      </c>
      <c r="H952" s="70">
        <f>H953+H961+H974+H991+H1000+H1007+H1012</f>
        <v>0</v>
      </c>
      <c r="I952" s="70">
        <f t="shared" si="196"/>
        <v>233756</v>
      </c>
      <c r="J952" s="70">
        <f>J953+J961+J974+J991+J1000+J1007+J1012</f>
        <v>-512.8</v>
      </c>
      <c r="K952" s="87">
        <f t="shared" si="191"/>
        <v>233243.2</v>
      </c>
      <c r="L952" s="13">
        <f>L953+L961+L974+L991+L1000+L1007+L1012</f>
        <v>-184.4</v>
      </c>
      <c r="M952" s="87">
        <f t="shared" si="193"/>
        <v>233058.80000000002</v>
      </c>
      <c r="N952" s="13">
        <f>N953+N961+N974+N991+N1000+N1007+N1012</f>
        <v>0</v>
      </c>
      <c r="O952" s="87">
        <f t="shared" si="194"/>
        <v>233058.80000000002</v>
      </c>
      <c r="P952" s="13">
        <f>P953+P961+P974+P991+P1000+P1007+P1012</f>
        <v>140.2</v>
      </c>
      <c r="Q952" s="87">
        <f t="shared" si="190"/>
        <v>233199.00000000003</v>
      </c>
      <c r="R952" s="13">
        <f>R953+R961+R974+R991+R1000+R1007+R1012</f>
        <v>-10338.1</v>
      </c>
      <c r="S952" s="87">
        <f t="shared" si="188"/>
        <v>222860.90000000002</v>
      </c>
    </row>
    <row r="953" spans="1:19" ht="33">
      <c r="A953" s="62" t="str">
        <f ca="1">IF(ISERROR(MATCH(E953,Код_КЦСР,0)),"",INDIRECT(ADDRESS(MATCH(E953,Код_КЦСР,0)+1,2,,,"КЦСР")))</f>
        <v>Сохранение, эффективное использование  и популяризация объектов культурного наследия</v>
      </c>
      <c r="B953" s="115">
        <v>808</v>
      </c>
      <c r="C953" s="8" t="s">
        <v>230</v>
      </c>
      <c r="D953" s="8" t="s">
        <v>221</v>
      </c>
      <c r="E953" s="115" t="s">
        <v>474</v>
      </c>
      <c r="F953" s="115"/>
      <c r="G953" s="70">
        <f aca="true" t="shared" si="199" ref="G953:R959">G954</f>
        <v>536.8</v>
      </c>
      <c r="H953" s="70">
        <f t="shared" si="199"/>
        <v>0</v>
      </c>
      <c r="I953" s="70">
        <f t="shared" si="196"/>
        <v>536.8</v>
      </c>
      <c r="J953" s="70">
        <f t="shared" si="199"/>
        <v>0</v>
      </c>
      <c r="K953" s="87">
        <f t="shared" si="191"/>
        <v>536.8</v>
      </c>
      <c r="L953" s="13">
        <f>L954</f>
        <v>-0.3</v>
      </c>
      <c r="M953" s="87">
        <f t="shared" si="193"/>
        <v>536.5</v>
      </c>
      <c r="N953" s="13">
        <f>N954</f>
        <v>0</v>
      </c>
      <c r="O953" s="87">
        <f t="shared" si="194"/>
        <v>536.5</v>
      </c>
      <c r="P953" s="13">
        <f>P954</f>
        <v>0</v>
      </c>
      <c r="Q953" s="87">
        <f t="shared" si="190"/>
        <v>536.5</v>
      </c>
      <c r="R953" s="13">
        <f>R954</f>
        <v>0</v>
      </c>
      <c r="S953" s="87">
        <f t="shared" si="188"/>
        <v>536.5</v>
      </c>
    </row>
    <row r="954" spans="1:19" ht="12.75">
      <c r="A954" s="62" t="str">
        <f ca="1">IF(ISERROR(MATCH(E954,Код_КЦСР,0)),"",INDIRECT(ADDRESS(MATCH(E954,Код_КЦСР,0)+1,2,,,"КЦСР")))</f>
        <v>Сохранение, ремонт и  реставрация объектов культурного наследия</v>
      </c>
      <c r="B954" s="115">
        <v>808</v>
      </c>
      <c r="C954" s="8" t="s">
        <v>230</v>
      </c>
      <c r="D954" s="8" t="s">
        <v>221</v>
      </c>
      <c r="E954" s="115" t="s">
        <v>476</v>
      </c>
      <c r="F954" s="115"/>
      <c r="G954" s="70">
        <f>G958</f>
        <v>536.8</v>
      </c>
      <c r="H954" s="70">
        <f>H958</f>
        <v>0</v>
      </c>
      <c r="I954" s="70">
        <f t="shared" si="196"/>
        <v>536.8</v>
      </c>
      <c r="J954" s="70">
        <f>J958</f>
        <v>0</v>
      </c>
      <c r="K954" s="87">
        <f t="shared" si="191"/>
        <v>536.8</v>
      </c>
      <c r="L954" s="13">
        <f>L958+L955</f>
        <v>-0.3</v>
      </c>
      <c r="M954" s="87">
        <f t="shared" si="193"/>
        <v>536.5</v>
      </c>
      <c r="N954" s="13">
        <f>N958+N955</f>
        <v>0</v>
      </c>
      <c r="O954" s="87">
        <f t="shared" si="194"/>
        <v>536.5</v>
      </c>
      <c r="P954" s="13">
        <f>P958+P955</f>
        <v>0</v>
      </c>
      <c r="Q954" s="87">
        <f t="shared" si="190"/>
        <v>536.5</v>
      </c>
      <c r="R954" s="13">
        <f>R958+R955</f>
        <v>0</v>
      </c>
      <c r="S954" s="87">
        <f t="shared" si="188"/>
        <v>536.5</v>
      </c>
    </row>
    <row r="955" spans="1:19" ht="27.75" customHeight="1" hidden="1">
      <c r="A955" s="62" t="str">
        <f aca="true" t="shared" si="200" ref="A955:A960">IF(ISERROR(MATCH(F955,Код_КВР,0)),"",INDIRECT(ADDRESS(MATCH(F955,Код_КВР,0)+1,2,,,"КВР")))</f>
        <v>Закупка товаров, работ и услуг для муниципальных нужд</v>
      </c>
      <c r="B955" s="115">
        <v>808</v>
      </c>
      <c r="C955" s="8" t="s">
        <v>230</v>
      </c>
      <c r="D955" s="8" t="s">
        <v>221</v>
      </c>
      <c r="E955" s="115" t="s">
        <v>476</v>
      </c>
      <c r="F955" s="115">
        <v>200</v>
      </c>
      <c r="G955" s="70"/>
      <c r="H955" s="70"/>
      <c r="I955" s="70"/>
      <c r="J955" s="70"/>
      <c r="K955" s="87"/>
      <c r="L955" s="13">
        <f>L956</f>
        <v>0</v>
      </c>
      <c r="M955" s="87">
        <f t="shared" si="193"/>
        <v>0</v>
      </c>
      <c r="N955" s="13">
        <f>N956</f>
        <v>0</v>
      </c>
      <c r="O955" s="87">
        <f t="shared" si="194"/>
        <v>0</v>
      </c>
      <c r="P955" s="13">
        <f>P956</f>
        <v>0</v>
      </c>
      <c r="Q955" s="87">
        <f t="shared" si="190"/>
        <v>0</v>
      </c>
      <c r="R955" s="13">
        <f>R956</f>
        <v>0</v>
      </c>
      <c r="S955" s="87">
        <f t="shared" si="188"/>
        <v>0</v>
      </c>
    </row>
    <row r="956" spans="1:19" ht="33" hidden="1">
      <c r="A956" s="62" t="str">
        <f ca="1" t="shared" si="200"/>
        <v>Иные закупки товаров, работ и услуг для обеспечения муниципальных нужд</v>
      </c>
      <c r="B956" s="115">
        <v>808</v>
      </c>
      <c r="C956" s="8" t="s">
        <v>230</v>
      </c>
      <c r="D956" s="8" t="s">
        <v>221</v>
      </c>
      <c r="E956" s="115" t="s">
        <v>476</v>
      </c>
      <c r="F956" s="115">
        <v>240</v>
      </c>
      <c r="G956" s="70"/>
      <c r="H956" s="70"/>
      <c r="I956" s="70"/>
      <c r="J956" s="70"/>
      <c r="K956" s="87"/>
      <c r="L956" s="13">
        <f>L957</f>
        <v>0</v>
      </c>
      <c r="M956" s="87">
        <f t="shared" si="193"/>
        <v>0</v>
      </c>
      <c r="N956" s="13">
        <f>N957</f>
        <v>0</v>
      </c>
      <c r="O956" s="87">
        <f t="shared" si="194"/>
        <v>0</v>
      </c>
      <c r="P956" s="13">
        <f>P957</f>
        <v>0</v>
      </c>
      <c r="Q956" s="87">
        <f t="shared" si="190"/>
        <v>0</v>
      </c>
      <c r="R956" s="13">
        <f>R957</f>
        <v>0</v>
      </c>
      <c r="S956" s="87">
        <f t="shared" si="188"/>
        <v>0</v>
      </c>
    </row>
    <row r="957" spans="1:19" ht="27.75" customHeight="1" hidden="1">
      <c r="A957" s="62" t="str">
        <f ca="1" t="shared" si="200"/>
        <v>Научно-исследовательские и опытно-конструкторские работы</v>
      </c>
      <c r="B957" s="115">
        <v>808</v>
      </c>
      <c r="C957" s="8" t="s">
        <v>230</v>
      </c>
      <c r="D957" s="8" t="s">
        <v>221</v>
      </c>
      <c r="E957" s="115" t="s">
        <v>476</v>
      </c>
      <c r="F957" s="115">
        <v>241</v>
      </c>
      <c r="G957" s="70"/>
      <c r="H957" s="70"/>
      <c r="I957" s="70"/>
      <c r="J957" s="70"/>
      <c r="K957" s="87"/>
      <c r="L957" s="13"/>
      <c r="M957" s="87">
        <f t="shared" si="193"/>
        <v>0</v>
      </c>
      <c r="N957" s="13"/>
      <c r="O957" s="87">
        <f t="shared" si="194"/>
        <v>0</v>
      </c>
      <c r="P957" s="13"/>
      <c r="Q957" s="87">
        <f t="shared" si="190"/>
        <v>0</v>
      </c>
      <c r="R957" s="13"/>
      <c r="S957" s="87">
        <f t="shared" si="188"/>
        <v>0</v>
      </c>
    </row>
    <row r="958" spans="1:19" ht="33">
      <c r="A958" s="62" t="str">
        <f ca="1" t="shared" si="200"/>
        <v>Предоставление субсидий бюджетным, автономным учреждениям и иным некоммерческим организациям</v>
      </c>
      <c r="B958" s="115">
        <v>808</v>
      </c>
      <c r="C958" s="8" t="s">
        <v>230</v>
      </c>
      <c r="D958" s="8" t="s">
        <v>221</v>
      </c>
      <c r="E958" s="115" t="s">
        <v>476</v>
      </c>
      <c r="F958" s="115">
        <v>600</v>
      </c>
      <c r="G958" s="70">
        <f t="shared" si="199"/>
        <v>536.8</v>
      </c>
      <c r="H958" s="70">
        <f t="shared" si="199"/>
        <v>0</v>
      </c>
      <c r="I958" s="70">
        <f t="shared" si="196"/>
        <v>536.8</v>
      </c>
      <c r="J958" s="70">
        <f t="shared" si="199"/>
        <v>0</v>
      </c>
      <c r="K958" s="87">
        <f t="shared" si="191"/>
        <v>536.8</v>
      </c>
      <c r="L958" s="13">
        <f t="shared" si="199"/>
        <v>-0.3</v>
      </c>
      <c r="M958" s="87">
        <f t="shared" si="193"/>
        <v>536.5</v>
      </c>
      <c r="N958" s="13">
        <f t="shared" si="199"/>
        <v>0</v>
      </c>
      <c r="O958" s="87">
        <f t="shared" si="194"/>
        <v>536.5</v>
      </c>
      <c r="P958" s="13">
        <f t="shared" si="199"/>
        <v>0</v>
      </c>
      <c r="Q958" s="87">
        <f t="shared" si="190"/>
        <v>536.5</v>
      </c>
      <c r="R958" s="13">
        <f t="shared" si="199"/>
        <v>0</v>
      </c>
      <c r="S958" s="87">
        <f t="shared" si="188"/>
        <v>536.5</v>
      </c>
    </row>
    <row r="959" spans="1:19" ht="12.75">
      <c r="A959" s="62" t="str">
        <f ca="1" t="shared" si="200"/>
        <v>Субсидии бюджетным учреждениям</v>
      </c>
      <c r="B959" s="115">
        <v>808</v>
      </c>
      <c r="C959" s="8" t="s">
        <v>230</v>
      </c>
      <c r="D959" s="8" t="s">
        <v>221</v>
      </c>
      <c r="E959" s="115" t="s">
        <v>476</v>
      </c>
      <c r="F959" s="115">
        <v>610</v>
      </c>
      <c r="G959" s="70">
        <f t="shared" si="199"/>
        <v>536.8</v>
      </c>
      <c r="H959" s="70">
        <f t="shared" si="199"/>
        <v>0</v>
      </c>
      <c r="I959" s="70">
        <f t="shared" si="196"/>
        <v>536.8</v>
      </c>
      <c r="J959" s="70">
        <f t="shared" si="199"/>
        <v>0</v>
      </c>
      <c r="K959" s="87">
        <f t="shared" si="191"/>
        <v>536.8</v>
      </c>
      <c r="L959" s="13">
        <f t="shared" si="199"/>
        <v>-0.3</v>
      </c>
      <c r="M959" s="87">
        <f t="shared" si="193"/>
        <v>536.5</v>
      </c>
      <c r="N959" s="13">
        <f t="shared" si="199"/>
        <v>0</v>
      </c>
      <c r="O959" s="87">
        <f t="shared" si="194"/>
        <v>536.5</v>
      </c>
      <c r="P959" s="13">
        <f t="shared" si="199"/>
        <v>0</v>
      </c>
      <c r="Q959" s="87">
        <f t="shared" si="190"/>
        <v>536.5</v>
      </c>
      <c r="R959" s="13">
        <f t="shared" si="199"/>
        <v>0</v>
      </c>
      <c r="S959" s="87">
        <f t="shared" si="188"/>
        <v>536.5</v>
      </c>
    </row>
    <row r="960" spans="1:19" ht="49.5">
      <c r="A960" s="62" t="str">
        <f ca="1" t="shared" si="200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60" s="115">
        <v>808</v>
      </c>
      <c r="C960" s="8" t="s">
        <v>230</v>
      </c>
      <c r="D960" s="8" t="s">
        <v>221</v>
      </c>
      <c r="E960" s="115" t="s">
        <v>476</v>
      </c>
      <c r="F960" s="115">
        <v>611</v>
      </c>
      <c r="G960" s="70">
        <v>536.8</v>
      </c>
      <c r="H960" s="70"/>
      <c r="I960" s="70">
        <f t="shared" si="196"/>
        <v>536.8</v>
      </c>
      <c r="J960" s="70"/>
      <c r="K960" s="87">
        <f t="shared" si="191"/>
        <v>536.8</v>
      </c>
      <c r="L960" s="13">
        <f>-0.3</f>
        <v>-0.3</v>
      </c>
      <c r="M960" s="87">
        <f t="shared" si="193"/>
        <v>536.5</v>
      </c>
      <c r="N960" s="13"/>
      <c r="O960" s="87">
        <f t="shared" si="194"/>
        <v>536.5</v>
      </c>
      <c r="P960" s="13"/>
      <c r="Q960" s="87">
        <f t="shared" si="190"/>
        <v>536.5</v>
      </c>
      <c r="R960" s="13"/>
      <c r="S960" s="87">
        <f t="shared" si="188"/>
        <v>536.5</v>
      </c>
    </row>
    <row r="961" spans="1:19" ht="12.75">
      <c r="A961" s="62" t="str">
        <f ca="1">IF(ISERROR(MATCH(E961,Код_КЦСР,0)),"",INDIRECT(ADDRESS(MATCH(E961,Код_КЦСР,0)+1,2,,,"КЦСР")))</f>
        <v>Развитие музейного дела</v>
      </c>
      <c r="B961" s="115">
        <v>808</v>
      </c>
      <c r="C961" s="8" t="s">
        <v>230</v>
      </c>
      <c r="D961" s="8" t="s">
        <v>221</v>
      </c>
      <c r="E961" s="115" t="s">
        <v>479</v>
      </c>
      <c r="F961" s="115"/>
      <c r="G961" s="70">
        <f>G962+G966+G970</f>
        <v>44327.200000000004</v>
      </c>
      <c r="H961" s="70">
        <f>H962+H966+H970</f>
        <v>0</v>
      </c>
      <c r="I961" s="70">
        <f t="shared" si="196"/>
        <v>44327.200000000004</v>
      </c>
      <c r="J961" s="70">
        <f>J962+J966+J970</f>
        <v>0</v>
      </c>
      <c r="K961" s="87">
        <f t="shared" si="191"/>
        <v>44327.200000000004</v>
      </c>
      <c r="L961" s="13">
        <f>L962+L966+L970</f>
        <v>-26.4</v>
      </c>
      <c r="M961" s="87">
        <f t="shared" si="193"/>
        <v>44300.8</v>
      </c>
      <c r="N961" s="13">
        <f>N962+N966+N970</f>
        <v>0</v>
      </c>
      <c r="O961" s="87">
        <f t="shared" si="194"/>
        <v>44300.8</v>
      </c>
      <c r="P961" s="13">
        <f>P962+P966+P970</f>
        <v>0</v>
      </c>
      <c r="Q961" s="87">
        <f t="shared" si="190"/>
        <v>44300.8</v>
      </c>
      <c r="R961" s="13">
        <f>R962+R966+R970</f>
        <v>0</v>
      </c>
      <c r="S961" s="87">
        <f t="shared" si="188"/>
        <v>44300.8</v>
      </c>
    </row>
    <row r="962" spans="1:19" ht="12.75">
      <c r="A962" s="62" t="str">
        <f ca="1">IF(ISERROR(MATCH(E962,Код_КЦСР,0)),"",INDIRECT(ADDRESS(MATCH(E962,Код_КЦСР,0)+1,2,,,"КЦСР")))</f>
        <v xml:space="preserve">Оказание муниципальных услуг </v>
      </c>
      <c r="B962" s="115">
        <v>808</v>
      </c>
      <c r="C962" s="8" t="s">
        <v>230</v>
      </c>
      <c r="D962" s="8" t="s">
        <v>221</v>
      </c>
      <c r="E962" s="115" t="s">
        <v>484</v>
      </c>
      <c r="F962" s="115"/>
      <c r="G962" s="70">
        <f aca="true" t="shared" si="201" ref="G962:R964">G963</f>
        <v>25054</v>
      </c>
      <c r="H962" s="70">
        <f t="shared" si="201"/>
        <v>0</v>
      </c>
      <c r="I962" s="70">
        <f t="shared" si="196"/>
        <v>25054</v>
      </c>
      <c r="J962" s="70">
        <f t="shared" si="201"/>
        <v>0</v>
      </c>
      <c r="K962" s="87">
        <f t="shared" si="191"/>
        <v>25054</v>
      </c>
      <c r="L962" s="13">
        <f t="shared" si="201"/>
        <v>-21.2</v>
      </c>
      <c r="M962" s="87">
        <f t="shared" si="193"/>
        <v>25032.8</v>
      </c>
      <c r="N962" s="13">
        <f t="shared" si="201"/>
        <v>0</v>
      </c>
      <c r="O962" s="87">
        <f t="shared" si="194"/>
        <v>25032.8</v>
      </c>
      <c r="P962" s="13">
        <f t="shared" si="201"/>
        <v>0</v>
      </c>
      <c r="Q962" s="87">
        <f t="shared" si="190"/>
        <v>25032.8</v>
      </c>
      <c r="R962" s="13">
        <f t="shared" si="201"/>
        <v>0</v>
      </c>
      <c r="S962" s="87">
        <f t="shared" si="188"/>
        <v>25032.8</v>
      </c>
    </row>
    <row r="963" spans="1:19" ht="33">
      <c r="A963" s="62" t="str">
        <f ca="1">IF(ISERROR(MATCH(F963,Код_КВР,0)),"",INDIRECT(ADDRESS(MATCH(F963,Код_КВР,0)+1,2,,,"КВР")))</f>
        <v>Предоставление субсидий бюджетным, автономным учреждениям и иным некоммерческим организациям</v>
      </c>
      <c r="B963" s="115">
        <v>808</v>
      </c>
      <c r="C963" s="8" t="s">
        <v>230</v>
      </c>
      <c r="D963" s="8" t="s">
        <v>221</v>
      </c>
      <c r="E963" s="115" t="s">
        <v>484</v>
      </c>
      <c r="F963" s="115">
        <v>600</v>
      </c>
      <c r="G963" s="70">
        <f t="shared" si="201"/>
        <v>25054</v>
      </c>
      <c r="H963" s="70">
        <f t="shared" si="201"/>
        <v>0</v>
      </c>
      <c r="I963" s="70">
        <f t="shared" si="196"/>
        <v>25054</v>
      </c>
      <c r="J963" s="70">
        <f t="shared" si="201"/>
        <v>0</v>
      </c>
      <c r="K963" s="87">
        <f t="shared" si="191"/>
        <v>25054</v>
      </c>
      <c r="L963" s="13">
        <f t="shared" si="201"/>
        <v>-21.2</v>
      </c>
      <c r="M963" s="87">
        <f t="shared" si="193"/>
        <v>25032.8</v>
      </c>
      <c r="N963" s="13">
        <f t="shared" si="201"/>
        <v>0</v>
      </c>
      <c r="O963" s="87">
        <f t="shared" si="194"/>
        <v>25032.8</v>
      </c>
      <c r="P963" s="13">
        <f t="shared" si="201"/>
        <v>0</v>
      </c>
      <c r="Q963" s="87">
        <f t="shared" si="190"/>
        <v>25032.8</v>
      </c>
      <c r="R963" s="13">
        <f t="shared" si="201"/>
        <v>0</v>
      </c>
      <c r="S963" s="87">
        <f t="shared" si="188"/>
        <v>25032.8</v>
      </c>
    </row>
    <row r="964" spans="1:19" ht="12.75">
      <c r="A964" s="62" t="str">
        <f ca="1">IF(ISERROR(MATCH(F964,Код_КВР,0)),"",INDIRECT(ADDRESS(MATCH(F964,Код_КВР,0)+1,2,,,"КВР")))</f>
        <v>Субсидии бюджетным учреждениям</v>
      </c>
      <c r="B964" s="115">
        <v>808</v>
      </c>
      <c r="C964" s="8" t="s">
        <v>230</v>
      </c>
      <c r="D964" s="8" t="s">
        <v>221</v>
      </c>
      <c r="E964" s="115" t="s">
        <v>484</v>
      </c>
      <c r="F964" s="115">
        <v>610</v>
      </c>
      <c r="G964" s="70">
        <f t="shared" si="201"/>
        <v>25054</v>
      </c>
      <c r="H964" s="70">
        <f t="shared" si="201"/>
        <v>0</v>
      </c>
      <c r="I964" s="70">
        <f t="shared" si="196"/>
        <v>25054</v>
      </c>
      <c r="J964" s="70">
        <f t="shared" si="201"/>
        <v>0</v>
      </c>
      <c r="K964" s="87">
        <f t="shared" si="191"/>
        <v>25054</v>
      </c>
      <c r="L964" s="13">
        <f t="shared" si="201"/>
        <v>-21.2</v>
      </c>
      <c r="M964" s="87">
        <f t="shared" si="193"/>
        <v>25032.8</v>
      </c>
      <c r="N964" s="13">
        <f t="shared" si="201"/>
        <v>0</v>
      </c>
      <c r="O964" s="87">
        <f t="shared" si="194"/>
        <v>25032.8</v>
      </c>
      <c r="P964" s="13">
        <f t="shared" si="201"/>
        <v>0</v>
      </c>
      <c r="Q964" s="87">
        <f t="shared" si="190"/>
        <v>25032.8</v>
      </c>
      <c r="R964" s="13">
        <f t="shared" si="201"/>
        <v>0</v>
      </c>
      <c r="S964" s="87">
        <f t="shared" si="188"/>
        <v>25032.8</v>
      </c>
    </row>
    <row r="965" spans="1:19" ht="49.5">
      <c r="A965" s="62" t="str">
        <f ca="1">IF(ISERROR(MATCH(F965,Код_КВР,0)),"",INDIRECT(ADDRESS(MATCH(F965,Код_КВР,0)+1,2,,,"КВР")))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65" s="115">
        <v>808</v>
      </c>
      <c r="C965" s="8" t="s">
        <v>230</v>
      </c>
      <c r="D965" s="8" t="s">
        <v>221</v>
      </c>
      <c r="E965" s="115" t="s">
        <v>484</v>
      </c>
      <c r="F965" s="115">
        <v>611</v>
      </c>
      <c r="G965" s="70">
        <v>25054</v>
      </c>
      <c r="H965" s="70"/>
      <c r="I965" s="70">
        <f t="shared" si="196"/>
        <v>25054</v>
      </c>
      <c r="J965" s="70"/>
      <c r="K965" s="87">
        <f t="shared" si="191"/>
        <v>25054</v>
      </c>
      <c r="L965" s="13">
        <v>-21.2</v>
      </c>
      <c r="M965" s="87">
        <f t="shared" si="193"/>
        <v>25032.8</v>
      </c>
      <c r="N965" s="13"/>
      <c r="O965" s="87">
        <f t="shared" si="194"/>
        <v>25032.8</v>
      </c>
      <c r="P965" s="13"/>
      <c r="Q965" s="87">
        <f t="shared" si="190"/>
        <v>25032.8</v>
      </c>
      <c r="R965" s="13"/>
      <c r="S965" s="87">
        <f t="shared" si="188"/>
        <v>25032.8</v>
      </c>
    </row>
    <row r="966" spans="1:19" ht="21" customHeight="1">
      <c r="A966" s="62" t="str">
        <f ca="1">IF(ISERROR(MATCH(E966,Код_КЦСР,0)),"",INDIRECT(ADDRESS(MATCH(E966,Код_КЦСР,0)+1,2,,,"КЦСР")))</f>
        <v xml:space="preserve">Хранение, изучение и обеспечение сохранности музейных предметов </v>
      </c>
      <c r="B966" s="115">
        <v>808</v>
      </c>
      <c r="C966" s="8" t="s">
        <v>230</v>
      </c>
      <c r="D966" s="8" t="s">
        <v>221</v>
      </c>
      <c r="E966" s="115" t="s">
        <v>486</v>
      </c>
      <c r="F966" s="115"/>
      <c r="G966" s="70">
        <f aca="true" t="shared" si="202" ref="G966:R968">G967</f>
        <v>15501.3</v>
      </c>
      <c r="H966" s="70">
        <f t="shared" si="202"/>
        <v>0</v>
      </c>
      <c r="I966" s="70">
        <f t="shared" si="196"/>
        <v>15501.3</v>
      </c>
      <c r="J966" s="70">
        <f t="shared" si="202"/>
        <v>0</v>
      </c>
      <c r="K966" s="87">
        <f t="shared" si="191"/>
        <v>15501.3</v>
      </c>
      <c r="L966" s="13">
        <f t="shared" si="202"/>
        <v>-1.2</v>
      </c>
      <c r="M966" s="87">
        <f t="shared" si="193"/>
        <v>15500.099999999999</v>
      </c>
      <c r="N966" s="13">
        <f t="shared" si="202"/>
        <v>0</v>
      </c>
      <c r="O966" s="87">
        <f t="shared" si="194"/>
        <v>15500.099999999999</v>
      </c>
      <c r="P966" s="13">
        <f t="shared" si="202"/>
        <v>0</v>
      </c>
      <c r="Q966" s="87">
        <f t="shared" si="190"/>
        <v>15500.099999999999</v>
      </c>
      <c r="R966" s="13">
        <f t="shared" si="202"/>
        <v>0</v>
      </c>
      <c r="S966" s="87">
        <f t="shared" si="188"/>
        <v>15500.099999999999</v>
      </c>
    </row>
    <row r="967" spans="1:19" ht="33">
      <c r="A967" s="62" t="str">
        <f ca="1">IF(ISERROR(MATCH(F967,Код_КВР,0)),"",INDIRECT(ADDRESS(MATCH(F967,Код_КВР,0)+1,2,,,"КВР")))</f>
        <v>Предоставление субсидий бюджетным, автономным учреждениям и иным некоммерческим организациям</v>
      </c>
      <c r="B967" s="115">
        <v>808</v>
      </c>
      <c r="C967" s="8" t="s">
        <v>230</v>
      </c>
      <c r="D967" s="8" t="s">
        <v>221</v>
      </c>
      <c r="E967" s="115" t="s">
        <v>486</v>
      </c>
      <c r="F967" s="115">
        <v>600</v>
      </c>
      <c r="G967" s="70">
        <f t="shared" si="202"/>
        <v>15501.3</v>
      </c>
      <c r="H967" s="70">
        <f t="shared" si="202"/>
        <v>0</v>
      </c>
      <c r="I967" s="70">
        <f t="shared" si="196"/>
        <v>15501.3</v>
      </c>
      <c r="J967" s="70">
        <f t="shared" si="202"/>
        <v>0</v>
      </c>
      <c r="K967" s="87">
        <f t="shared" si="191"/>
        <v>15501.3</v>
      </c>
      <c r="L967" s="13">
        <f t="shared" si="202"/>
        <v>-1.2</v>
      </c>
      <c r="M967" s="87">
        <f t="shared" si="193"/>
        <v>15500.099999999999</v>
      </c>
      <c r="N967" s="13">
        <f t="shared" si="202"/>
        <v>0</v>
      </c>
      <c r="O967" s="87">
        <f t="shared" si="194"/>
        <v>15500.099999999999</v>
      </c>
      <c r="P967" s="13">
        <f t="shared" si="202"/>
        <v>0</v>
      </c>
      <c r="Q967" s="87">
        <f t="shared" si="190"/>
        <v>15500.099999999999</v>
      </c>
      <c r="R967" s="13">
        <f t="shared" si="202"/>
        <v>0</v>
      </c>
      <c r="S967" s="87">
        <f t="shared" si="188"/>
        <v>15500.099999999999</v>
      </c>
    </row>
    <row r="968" spans="1:19" ht="12.75">
      <c r="A968" s="62" t="str">
        <f ca="1">IF(ISERROR(MATCH(F968,Код_КВР,0)),"",INDIRECT(ADDRESS(MATCH(F968,Код_КВР,0)+1,2,,,"КВР")))</f>
        <v>Субсидии бюджетным учреждениям</v>
      </c>
      <c r="B968" s="115">
        <v>808</v>
      </c>
      <c r="C968" s="8" t="s">
        <v>230</v>
      </c>
      <c r="D968" s="8" t="s">
        <v>221</v>
      </c>
      <c r="E968" s="115" t="s">
        <v>486</v>
      </c>
      <c r="F968" s="115">
        <v>610</v>
      </c>
      <c r="G968" s="70">
        <f t="shared" si="202"/>
        <v>15501.3</v>
      </c>
      <c r="H968" s="70">
        <f t="shared" si="202"/>
        <v>0</v>
      </c>
      <c r="I968" s="70">
        <f t="shared" si="196"/>
        <v>15501.3</v>
      </c>
      <c r="J968" s="70">
        <f t="shared" si="202"/>
        <v>0</v>
      </c>
      <c r="K968" s="87">
        <f t="shared" si="191"/>
        <v>15501.3</v>
      </c>
      <c r="L968" s="13">
        <f t="shared" si="202"/>
        <v>-1.2</v>
      </c>
      <c r="M968" s="87">
        <f t="shared" si="193"/>
        <v>15500.099999999999</v>
      </c>
      <c r="N968" s="13">
        <f t="shared" si="202"/>
        <v>0</v>
      </c>
      <c r="O968" s="87">
        <f t="shared" si="194"/>
        <v>15500.099999999999</v>
      </c>
      <c r="P968" s="13">
        <f t="shared" si="202"/>
        <v>0</v>
      </c>
      <c r="Q968" s="87">
        <f t="shared" si="190"/>
        <v>15500.099999999999</v>
      </c>
      <c r="R968" s="13">
        <f t="shared" si="202"/>
        <v>0</v>
      </c>
      <c r="S968" s="87">
        <f aca="true" t="shared" si="203" ref="S968:S1031">Q968+R968</f>
        <v>15500.099999999999</v>
      </c>
    </row>
    <row r="969" spans="1:19" ht="49.5">
      <c r="A969" s="62" t="str">
        <f ca="1">IF(ISERROR(MATCH(F969,Код_КВР,0)),"",INDIRECT(ADDRESS(MATCH(F969,Код_КВР,0)+1,2,,,"КВР")))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69" s="115">
        <v>808</v>
      </c>
      <c r="C969" s="8" t="s">
        <v>230</v>
      </c>
      <c r="D969" s="8" t="s">
        <v>221</v>
      </c>
      <c r="E969" s="115" t="s">
        <v>486</v>
      </c>
      <c r="F969" s="115">
        <v>611</v>
      </c>
      <c r="G969" s="70">
        <v>15501.3</v>
      </c>
      <c r="H969" s="70"/>
      <c r="I969" s="70">
        <f t="shared" si="196"/>
        <v>15501.3</v>
      </c>
      <c r="J969" s="70"/>
      <c r="K969" s="87">
        <f t="shared" si="191"/>
        <v>15501.3</v>
      </c>
      <c r="L969" s="13">
        <v>-1.2</v>
      </c>
      <c r="M969" s="87">
        <f t="shared" si="193"/>
        <v>15500.099999999999</v>
      </c>
      <c r="N969" s="13"/>
      <c r="O969" s="87">
        <f t="shared" si="194"/>
        <v>15500.099999999999</v>
      </c>
      <c r="P969" s="13"/>
      <c r="Q969" s="87">
        <f t="shared" si="190"/>
        <v>15500.099999999999</v>
      </c>
      <c r="R969" s="13"/>
      <c r="S969" s="87">
        <f t="shared" si="203"/>
        <v>15500.099999999999</v>
      </c>
    </row>
    <row r="970" spans="1:19" ht="12.75">
      <c r="A970" s="62" t="str">
        <f ca="1">IF(ISERROR(MATCH(E970,Код_КЦСР,0)),"",INDIRECT(ADDRESS(MATCH(E970,Код_КЦСР,0)+1,2,,,"КЦСР")))</f>
        <v>Формирование и учет музейного фонда</v>
      </c>
      <c r="B970" s="115">
        <v>808</v>
      </c>
      <c r="C970" s="8" t="s">
        <v>230</v>
      </c>
      <c r="D970" s="8" t="s">
        <v>221</v>
      </c>
      <c r="E970" s="115" t="s">
        <v>488</v>
      </c>
      <c r="F970" s="115"/>
      <c r="G970" s="70">
        <f aca="true" t="shared" si="204" ref="G970:R972">G971</f>
        <v>3771.9</v>
      </c>
      <c r="H970" s="70">
        <f t="shared" si="204"/>
        <v>0</v>
      </c>
      <c r="I970" s="70">
        <f t="shared" si="196"/>
        <v>3771.9</v>
      </c>
      <c r="J970" s="70">
        <f t="shared" si="204"/>
        <v>0</v>
      </c>
      <c r="K970" s="87">
        <f t="shared" si="191"/>
        <v>3771.9</v>
      </c>
      <c r="L970" s="13">
        <f t="shared" si="204"/>
        <v>-4</v>
      </c>
      <c r="M970" s="87">
        <f t="shared" si="193"/>
        <v>3767.9</v>
      </c>
      <c r="N970" s="13">
        <f t="shared" si="204"/>
        <v>0</v>
      </c>
      <c r="O970" s="87">
        <f t="shared" si="194"/>
        <v>3767.9</v>
      </c>
      <c r="P970" s="13">
        <f t="shared" si="204"/>
        <v>0</v>
      </c>
      <c r="Q970" s="87">
        <f t="shared" si="190"/>
        <v>3767.9</v>
      </c>
      <c r="R970" s="13">
        <f t="shared" si="204"/>
        <v>0</v>
      </c>
      <c r="S970" s="87">
        <f t="shared" si="203"/>
        <v>3767.9</v>
      </c>
    </row>
    <row r="971" spans="1:19" ht="33">
      <c r="A971" s="62" t="str">
        <f ca="1">IF(ISERROR(MATCH(F971,Код_КВР,0)),"",INDIRECT(ADDRESS(MATCH(F971,Код_КВР,0)+1,2,,,"КВР")))</f>
        <v>Предоставление субсидий бюджетным, автономным учреждениям и иным некоммерческим организациям</v>
      </c>
      <c r="B971" s="115">
        <v>808</v>
      </c>
      <c r="C971" s="8" t="s">
        <v>230</v>
      </c>
      <c r="D971" s="8" t="s">
        <v>221</v>
      </c>
      <c r="E971" s="115" t="s">
        <v>488</v>
      </c>
      <c r="F971" s="115">
        <v>600</v>
      </c>
      <c r="G971" s="70">
        <f t="shared" si="204"/>
        <v>3771.9</v>
      </c>
      <c r="H971" s="70">
        <f t="shared" si="204"/>
        <v>0</v>
      </c>
      <c r="I971" s="70">
        <f t="shared" si="196"/>
        <v>3771.9</v>
      </c>
      <c r="J971" s="70">
        <f t="shared" si="204"/>
        <v>0</v>
      </c>
      <c r="K971" s="87">
        <f t="shared" si="191"/>
        <v>3771.9</v>
      </c>
      <c r="L971" s="13">
        <f t="shared" si="204"/>
        <v>-4</v>
      </c>
      <c r="M971" s="87">
        <f t="shared" si="193"/>
        <v>3767.9</v>
      </c>
      <c r="N971" s="13">
        <f t="shared" si="204"/>
        <v>0</v>
      </c>
      <c r="O971" s="87">
        <f t="shared" si="194"/>
        <v>3767.9</v>
      </c>
      <c r="P971" s="13">
        <f t="shared" si="204"/>
        <v>0</v>
      </c>
      <c r="Q971" s="87">
        <f t="shared" si="190"/>
        <v>3767.9</v>
      </c>
      <c r="R971" s="13">
        <f t="shared" si="204"/>
        <v>0</v>
      </c>
      <c r="S971" s="87">
        <f t="shared" si="203"/>
        <v>3767.9</v>
      </c>
    </row>
    <row r="972" spans="1:19" ht="12.75">
      <c r="A972" s="62" t="str">
        <f ca="1">IF(ISERROR(MATCH(F972,Код_КВР,0)),"",INDIRECT(ADDRESS(MATCH(F972,Код_КВР,0)+1,2,,,"КВР")))</f>
        <v>Субсидии бюджетным учреждениям</v>
      </c>
      <c r="B972" s="115">
        <v>808</v>
      </c>
      <c r="C972" s="8" t="s">
        <v>230</v>
      </c>
      <c r="D972" s="8" t="s">
        <v>221</v>
      </c>
      <c r="E972" s="115" t="s">
        <v>488</v>
      </c>
      <c r="F972" s="115">
        <v>610</v>
      </c>
      <c r="G972" s="70">
        <f t="shared" si="204"/>
        <v>3771.9</v>
      </c>
      <c r="H972" s="70">
        <f t="shared" si="204"/>
        <v>0</v>
      </c>
      <c r="I972" s="70">
        <f t="shared" si="196"/>
        <v>3771.9</v>
      </c>
      <c r="J972" s="70">
        <f t="shared" si="204"/>
        <v>0</v>
      </c>
      <c r="K972" s="87">
        <f t="shared" si="191"/>
        <v>3771.9</v>
      </c>
      <c r="L972" s="13">
        <f t="shared" si="204"/>
        <v>-4</v>
      </c>
      <c r="M972" s="87">
        <f t="shared" si="193"/>
        <v>3767.9</v>
      </c>
      <c r="N972" s="13">
        <f t="shared" si="204"/>
        <v>0</v>
      </c>
      <c r="O972" s="87">
        <f t="shared" si="194"/>
        <v>3767.9</v>
      </c>
      <c r="P972" s="13">
        <f t="shared" si="204"/>
        <v>0</v>
      </c>
      <c r="Q972" s="87">
        <f t="shared" si="190"/>
        <v>3767.9</v>
      </c>
      <c r="R972" s="13">
        <f t="shared" si="204"/>
        <v>0</v>
      </c>
      <c r="S972" s="87">
        <f t="shared" si="203"/>
        <v>3767.9</v>
      </c>
    </row>
    <row r="973" spans="1:19" ht="49.5">
      <c r="A973" s="62" t="str">
        <f ca="1">IF(ISERROR(MATCH(F973,Код_КВР,0)),"",INDIRECT(ADDRESS(MATCH(F973,Код_КВР,0)+1,2,,,"КВР")))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73" s="115">
        <v>808</v>
      </c>
      <c r="C973" s="8" t="s">
        <v>230</v>
      </c>
      <c r="D973" s="8" t="s">
        <v>221</v>
      </c>
      <c r="E973" s="115" t="s">
        <v>488</v>
      </c>
      <c r="F973" s="115">
        <v>611</v>
      </c>
      <c r="G973" s="70">
        <v>3771.9</v>
      </c>
      <c r="H973" s="70"/>
      <c r="I973" s="70">
        <f t="shared" si="196"/>
        <v>3771.9</v>
      </c>
      <c r="J973" s="70"/>
      <c r="K973" s="87">
        <f t="shared" si="191"/>
        <v>3771.9</v>
      </c>
      <c r="L973" s="13">
        <v>-4</v>
      </c>
      <c r="M973" s="87">
        <f t="shared" si="193"/>
        <v>3767.9</v>
      </c>
      <c r="N973" s="13"/>
      <c r="O973" s="87">
        <f t="shared" si="194"/>
        <v>3767.9</v>
      </c>
      <c r="P973" s="13"/>
      <c r="Q973" s="87">
        <f t="shared" si="190"/>
        <v>3767.9</v>
      </c>
      <c r="R973" s="13"/>
      <c r="S973" s="87">
        <f t="shared" si="203"/>
        <v>3767.9</v>
      </c>
    </row>
    <row r="974" spans="1:19" ht="12.75">
      <c r="A974" s="62" t="str">
        <f ca="1">IF(ISERROR(MATCH(E974,Код_КЦСР,0)),"",INDIRECT(ADDRESS(MATCH(E974,Код_КЦСР,0)+1,2,,,"КЦСР")))</f>
        <v>Развитие библиотечного дела</v>
      </c>
      <c r="B974" s="115">
        <v>808</v>
      </c>
      <c r="C974" s="8" t="s">
        <v>230</v>
      </c>
      <c r="D974" s="8" t="s">
        <v>221</v>
      </c>
      <c r="E974" s="115" t="s">
        <v>490</v>
      </c>
      <c r="F974" s="115"/>
      <c r="G974" s="70">
        <f>G975+G979+G983+G987</f>
        <v>38045.7</v>
      </c>
      <c r="H974" s="70">
        <f>H975+H979+H983+H987</f>
        <v>0</v>
      </c>
      <c r="I974" s="70">
        <f t="shared" si="196"/>
        <v>38045.7</v>
      </c>
      <c r="J974" s="70">
        <f>J975+J979+J983+J987</f>
        <v>0</v>
      </c>
      <c r="K974" s="87">
        <f t="shared" si="191"/>
        <v>38045.7</v>
      </c>
      <c r="L974" s="13">
        <f>L975+L979+L983+L987</f>
        <v>-23.099999999999998</v>
      </c>
      <c r="M974" s="87">
        <f t="shared" si="193"/>
        <v>38022.6</v>
      </c>
      <c r="N974" s="13">
        <f>N975+N979+N983+N987</f>
        <v>0</v>
      </c>
      <c r="O974" s="87">
        <f t="shared" si="194"/>
        <v>38022.6</v>
      </c>
      <c r="P974" s="13">
        <f>P975+P979+P983+P987</f>
        <v>0</v>
      </c>
      <c r="Q974" s="87">
        <f aca="true" t="shared" si="205" ref="Q974:Q1037">O974+P974</f>
        <v>38022.6</v>
      </c>
      <c r="R974" s="13">
        <f>R975+R979+R983+R987</f>
        <v>0</v>
      </c>
      <c r="S974" s="87">
        <f t="shared" si="203"/>
        <v>38022.6</v>
      </c>
    </row>
    <row r="975" spans="1:19" ht="12.75">
      <c r="A975" s="62" t="str">
        <f ca="1">IF(ISERROR(MATCH(E975,Код_КЦСР,0)),"",INDIRECT(ADDRESS(MATCH(E975,Код_КЦСР,0)+1,2,,,"КЦСР")))</f>
        <v>Оказание муниципальных услуг</v>
      </c>
      <c r="B975" s="115">
        <v>808</v>
      </c>
      <c r="C975" s="8" t="s">
        <v>230</v>
      </c>
      <c r="D975" s="8" t="s">
        <v>221</v>
      </c>
      <c r="E975" s="115" t="s">
        <v>493</v>
      </c>
      <c r="F975" s="115"/>
      <c r="G975" s="70">
        <f aca="true" t="shared" si="206" ref="G975:R977">G976</f>
        <v>24363.1</v>
      </c>
      <c r="H975" s="70">
        <f t="shared" si="206"/>
        <v>0</v>
      </c>
      <c r="I975" s="70">
        <f t="shared" si="196"/>
        <v>24363.1</v>
      </c>
      <c r="J975" s="70">
        <f t="shared" si="206"/>
        <v>0</v>
      </c>
      <c r="K975" s="87">
        <f t="shared" si="191"/>
        <v>24363.1</v>
      </c>
      <c r="L975" s="13">
        <f t="shared" si="206"/>
        <v>-19.2</v>
      </c>
      <c r="M975" s="87">
        <f t="shared" si="193"/>
        <v>24343.899999999998</v>
      </c>
      <c r="N975" s="13">
        <f t="shared" si="206"/>
        <v>0</v>
      </c>
      <c r="O975" s="87">
        <f t="shared" si="194"/>
        <v>24343.899999999998</v>
      </c>
      <c r="P975" s="13">
        <f t="shared" si="206"/>
        <v>0</v>
      </c>
      <c r="Q975" s="87">
        <f t="shared" si="205"/>
        <v>24343.899999999998</v>
      </c>
      <c r="R975" s="13">
        <f t="shared" si="206"/>
        <v>0</v>
      </c>
      <c r="S975" s="87">
        <f t="shared" si="203"/>
        <v>24343.899999999998</v>
      </c>
    </row>
    <row r="976" spans="1:19" ht="33">
      <c r="A976" s="62" t="str">
        <f ca="1">IF(ISERROR(MATCH(F976,Код_КВР,0)),"",INDIRECT(ADDRESS(MATCH(F976,Код_КВР,0)+1,2,,,"КВР")))</f>
        <v>Предоставление субсидий бюджетным, автономным учреждениям и иным некоммерческим организациям</v>
      </c>
      <c r="B976" s="115">
        <v>808</v>
      </c>
      <c r="C976" s="8" t="s">
        <v>230</v>
      </c>
      <c r="D976" s="8" t="s">
        <v>221</v>
      </c>
      <c r="E976" s="115" t="s">
        <v>493</v>
      </c>
      <c r="F976" s="115">
        <v>600</v>
      </c>
      <c r="G976" s="70">
        <f t="shared" si="206"/>
        <v>24363.1</v>
      </c>
      <c r="H976" s="70">
        <f t="shared" si="206"/>
        <v>0</v>
      </c>
      <c r="I976" s="70">
        <f t="shared" si="196"/>
        <v>24363.1</v>
      </c>
      <c r="J976" s="70">
        <f t="shared" si="206"/>
        <v>0</v>
      </c>
      <c r="K976" s="87">
        <f t="shared" si="191"/>
        <v>24363.1</v>
      </c>
      <c r="L976" s="13">
        <f t="shared" si="206"/>
        <v>-19.2</v>
      </c>
      <c r="M976" s="87">
        <f t="shared" si="193"/>
        <v>24343.899999999998</v>
      </c>
      <c r="N976" s="13">
        <f t="shared" si="206"/>
        <v>0</v>
      </c>
      <c r="O976" s="87">
        <f t="shared" si="194"/>
        <v>24343.899999999998</v>
      </c>
      <c r="P976" s="13">
        <f t="shared" si="206"/>
        <v>0</v>
      </c>
      <c r="Q976" s="87">
        <f t="shared" si="205"/>
        <v>24343.899999999998</v>
      </c>
      <c r="R976" s="13">
        <f t="shared" si="206"/>
        <v>0</v>
      </c>
      <c r="S976" s="87">
        <f t="shared" si="203"/>
        <v>24343.899999999998</v>
      </c>
    </row>
    <row r="977" spans="1:19" ht="12.75">
      <c r="A977" s="62" t="str">
        <f ca="1">IF(ISERROR(MATCH(F977,Код_КВР,0)),"",INDIRECT(ADDRESS(MATCH(F977,Код_КВР,0)+1,2,,,"КВР")))</f>
        <v>Субсидии бюджетным учреждениям</v>
      </c>
      <c r="B977" s="115">
        <v>808</v>
      </c>
      <c r="C977" s="8" t="s">
        <v>230</v>
      </c>
      <c r="D977" s="8" t="s">
        <v>221</v>
      </c>
      <c r="E977" s="115" t="s">
        <v>493</v>
      </c>
      <c r="F977" s="115">
        <v>610</v>
      </c>
      <c r="G977" s="70">
        <f t="shared" si="206"/>
        <v>24363.1</v>
      </c>
      <c r="H977" s="70">
        <f t="shared" si="206"/>
        <v>0</v>
      </c>
      <c r="I977" s="70">
        <f t="shared" si="196"/>
        <v>24363.1</v>
      </c>
      <c r="J977" s="70">
        <f t="shared" si="206"/>
        <v>0</v>
      </c>
      <c r="K977" s="87">
        <f t="shared" si="191"/>
        <v>24363.1</v>
      </c>
      <c r="L977" s="13">
        <f t="shared" si="206"/>
        <v>-19.2</v>
      </c>
      <c r="M977" s="87">
        <f t="shared" si="193"/>
        <v>24343.899999999998</v>
      </c>
      <c r="N977" s="13">
        <f t="shared" si="206"/>
        <v>0</v>
      </c>
      <c r="O977" s="87">
        <f t="shared" si="194"/>
        <v>24343.899999999998</v>
      </c>
      <c r="P977" s="13">
        <f t="shared" si="206"/>
        <v>0</v>
      </c>
      <c r="Q977" s="87">
        <f t="shared" si="205"/>
        <v>24343.899999999998</v>
      </c>
      <c r="R977" s="13">
        <f t="shared" si="206"/>
        <v>0</v>
      </c>
      <c r="S977" s="87">
        <f t="shared" si="203"/>
        <v>24343.899999999998</v>
      </c>
    </row>
    <row r="978" spans="1:19" ht="49.5">
      <c r="A978" s="62" t="str">
        <f ca="1">IF(ISERROR(MATCH(F978,Код_КВР,0)),"",INDIRECT(ADDRESS(MATCH(F978,Код_КВР,0)+1,2,,,"КВР")))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78" s="115">
        <v>808</v>
      </c>
      <c r="C978" s="8" t="s">
        <v>230</v>
      </c>
      <c r="D978" s="8" t="s">
        <v>221</v>
      </c>
      <c r="E978" s="115" t="s">
        <v>493</v>
      </c>
      <c r="F978" s="115">
        <v>611</v>
      </c>
      <c r="G978" s="70">
        <v>24363.1</v>
      </c>
      <c r="H978" s="70"/>
      <c r="I978" s="70">
        <f t="shared" si="196"/>
        <v>24363.1</v>
      </c>
      <c r="J978" s="70"/>
      <c r="K978" s="87">
        <f t="shared" si="191"/>
        <v>24363.1</v>
      </c>
      <c r="L978" s="13">
        <v>-19.2</v>
      </c>
      <c r="M978" s="87">
        <f t="shared" si="193"/>
        <v>24343.899999999998</v>
      </c>
      <c r="N978" s="13"/>
      <c r="O978" s="87">
        <f t="shared" si="194"/>
        <v>24343.899999999998</v>
      </c>
      <c r="P978" s="13"/>
      <c r="Q978" s="87">
        <f t="shared" si="205"/>
        <v>24343.899999999998</v>
      </c>
      <c r="R978" s="13"/>
      <c r="S978" s="87">
        <f t="shared" si="203"/>
        <v>24343.899999999998</v>
      </c>
    </row>
    <row r="979" spans="1:19" ht="12.75">
      <c r="A979" s="62" t="str">
        <f ca="1">IF(ISERROR(MATCH(E979,Код_КЦСР,0)),"",INDIRECT(ADDRESS(MATCH(E979,Код_КЦСР,0)+1,2,,,"КЦСР")))</f>
        <v>Формирование и учет фондов библиотеки</v>
      </c>
      <c r="B979" s="115">
        <v>808</v>
      </c>
      <c r="C979" s="8" t="s">
        <v>230</v>
      </c>
      <c r="D979" s="8" t="s">
        <v>221</v>
      </c>
      <c r="E979" s="115" t="s">
        <v>495</v>
      </c>
      <c r="F979" s="115"/>
      <c r="G979" s="70">
        <f aca="true" t="shared" si="207" ref="G979:R981">G980</f>
        <v>5799.2</v>
      </c>
      <c r="H979" s="70">
        <f t="shared" si="207"/>
        <v>0</v>
      </c>
      <c r="I979" s="70">
        <f t="shared" si="196"/>
        <v>5799.2</v>
      </c>
      <c r="J979" s="70">
        <f t="shared" si="207"/>
        <v>0</v>
      </c>
      <c r="K979" s="87">
        <f t="shared" si="191"/>
        <v>5799.2</v>
      </c>
      <c r="L979" s="13">
        <f t="shared" si="207"/>
        <v>-1.7</v>
      </c>
      <c r="M979" s="87">
        <f t="shared" si="193"/>
        <v>5797.5</v>
      </c>
      <c r="N979" s="13">
        <f t="shared" si="207"/>
        <v>0</v>
      </c>
      <c r="O979" s="87">
        <f t="shared" si="194"/>
        <v>5797.5</v>
      </c>
      <c r="P979" s="13">
        <f t="shared" si="207"/>
        <v>0</v>
      </c>
      <c r="Q979" s="87">
        <f t="shared" si="205"/>
        <v>5797.5</v>
      </c>
      <c r="R979" s="13">
        <f t="shared" si="207"/>
        <v>0</v>
      </c>
      <c r="S979" s="87">
        <f t="shared" si="203"/>
        <v>5797.5</v>
      </c>
    </row>
    <row r="980" spans="1:19" ht="33">
      <c r="A980" s="62" t="str">
        <f ca="1">IF(ISERROR(MATCH(F980,Код_КВР,0)),"",INDIRECT(ADDRESS(MATCH(F980,Код_КВР,0)+1,2,,,"КВР")))</f>
        <v>Предоставление субсидий бюджетным, автономным учреждениям и иным некоммерческим организациям</v>
      </c>
      <c r="B980" s="115">
        <v>808</v>
      </c>
      <c r="C980" s="8" t="s">
        <v>230</v>
      </c>
      <c r="D980" s="8" t="s">
        <v>221</v>
      </c>
      <c r="E980" s="115" t="s">
        <v>495</v>
      </c>
      <c r="F980" s="115">
        <v>600</v>
      </c>
      <c r="G980" s="70">
        <f t="shared" si="207"/>
        <v>5799.2</v>
      </c>
      <c r="H980" s="70">
        <f t="shared" si="207"/>
        <v>0</v>
      </c>
      <c r="I980" s="70">
        <f t="shared" si="196"/>
        <v>5799.2</v>
      </c>
      <c r="J980" s="70">
        <f t="shared" si="207"/>
        <v>0</v>
      </c>
      <c r="K980" s="87">
        <f t="shared" si="191"/>
        <v>5799.2</v>
      </c>
      <c r="L980" s="13">
        <f t="shared" si="207"/>
        <v>-1.7</v>
      </c>
      <c r="M980" s="87">
        <f t="shared" si="193"/>
        <v>5797.5</v>
      </c>
      <c r="N980" s="13">
        <f t="shared" si="207"/>
        <v>0</v>
      </c>
      <c r="O980" s="87">
        <f t="shared" si="194"/>
        <v>5797.5</v>
      </c>
      <c r="P980" s="13">
        <f t="shared" si="207"/>
        <v>0</v>
      </c>
      <c r="Q980" s="87">
        <f t="shared" si="205"/>
        <v>5797.5</v>
      </c>
      <c r="R980" s="13">
        <f t="shared" si="207"/>
        <v>0</v>
      </c>
      <c r="S980" s="87">
        <f t="shared" si="203"/>
        <v>5797.5</v>
      </c>
    </row>
    <row r="981" spans="1:19" ht="12.75">
      <c r="A981" s="62" t="str">
        <f ca="1">IF(ISERROR(MATCH(F981,Код_КВР,0)),"",INDIRECT(ADDRESS(MATCH(F981,Код_КВР,0)+1,2,,,"КВР")))</f>
        <v>Субсидии бюджетным учреждениям</v>
      </c>
      <c r="B981" s="115">
        <v>808</v>
      </c>
      <c r="C981" s="8" t="s">
        <v>230</v>
      </c>
      <c r="D981" s="8" t="s">
        <v>221</v>
      </c>
      <c r="E981" s="115" t="s">
        <v>495</v>
      </c>
      <c r="F981" s="115">
        <v>610</v>
      </c>
      <c r="G981" s="70">
        <f t="shared" si="207"/>
        <v>5799.2</v>
      </c>
      <c r="H981" s="70">
        <f t="shared" si="207"/>
        <v>0</v>
      </c>
      <c r="I981" s="70">
        <f t="shared" si="196"/>
        <v>5799.2</v>
      </c>
      <c r="J981" s="70">
        <f t="shared" si="207"/>
        <v>0</v>
      </c>
      <c r="K981" s="87">
        <f t="shared" si="191"/>
        <v>5799.2</v>
      </c>
      <c r="L981" s="13">
        <f t="shared" si="207"/>
        <v>-1.7</v>
      </c>
      <c r="M981" s="87">
        <f t="shared" si="193"/>
        <v>5797.5</v>
      </c>
      <c r="N981" s="13">
        <f t="shared" si="207"/>
        <v>0</v>
      </c>
      <c r="O981" s="87">
        <f t="shared" si="194"/>
        <v>5797.5</v>
      </c>
      <c r="P981" s="13">
        <f t="shared" si="207"/>
        <v>0</v>
      </c>
      <c r="Q981" s="87">
        <f t="shared" si="205"/>
        <v>5797.5</v>
      </c>
      <c r="R981" s="13">
        <f t="shared" si="207"/>
        <v>0</v>
      </c>
      <c r="S981" s="87">
        <f t="shared" si="203"/>
        <v>5797.5</v>
      </c>
    </row>
    <row r="982" spans="1:19" ht="49.5">
      <c r="A982" s="62" t="str">
        <f ca="1">IF(ISERROR(MATCH(F982,Код_КВР,0)),"",INDIRECT(ADDRESS(MATCH(F982,Код_КВР,0)+1,2,,,"КВР")))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2" s="115">
        <v>808</v>
      </c>
      <c r="C982" s="8" t="s">
        <v>230</v>
      </c>
      <c r="D982" s="8" t="s">
        <v>221</v>
      </c>
      <c r="E982" s="115" t="s">
        <v>495</v>
      </c>
      <c r="F982" s="115">
        <v>611</v>
      </c>
      <c r="G982" s="70">
        <v>5799.2</v>
      </c>
      <c r="H982" s="70"/>
      <c r="I982" s="70">
        <f t="shared" si="196"/>
        <v>5799.2</v>
      </c>
      <c r="J982" s="70"/>
      <c r="K982" s="87">
        <f t="shared" si="191"/>
        <v>5799.2</v>
      </c>
      <c r="L982" s="13">
        <v>-1.7</v>
      </c>
      <c r="M982" s="87">
        <f t="shared" si="193"/>
        <v>5797.5</v>
      </c>
      <c r="N982" s="13"/>
      <c r="O982" s="87">
        <f t="shared" si="194"/>
        <v>5797.5</v>
      </c>
      <c r="P982" s="13"/>
      <c r="Q982" s="87">
        <f t="shared" si="205"/>
        <v>5797.5</v>
      </c>
      <c r="R982" s="13"/>
      <c r="S982" s="87">
        <f t="shared" si="203"/>
        <v>5797.5</v>
      </c>
    </row>
    <row r="983" spans="1:19" ht="12.75">
      <c r="A983" s="62" t="str">
        <f ca="1">IF(ISERROR(MATCH(E983,Код_КЦСР,0)),"",INDIRECT(ADDRESS(MATCH(E983,Код_КЦСР,0)+1,2,,,"КЦСР")))</f>
        <v>Обеспечение физической сохранности  и безопасности фонда библиотеки</v>
      </c>
      <c r="B983" s="115">
        <v>808</v>
      </c>
      <c r="C983" s="8" t="s">
        <v>230</v>
      </c>
      <c r="D983" s="8" t="s">
        <v>221</v>
      </c>
      <c r="E983" s="115" t="s">
        <v>497</v>
      </c>
      <c r="F983" s="115"/>
      <c r="G983" s="70">
        <f aca="true" t="shared" si="208" ref="G983:R985">G984</f>
        <v>2971.3</v>
      </c>
      <c r="H983" s="70">
        <f t="shared" si="208"/>
        <v>0</v>
      </c>
      <c r="I983" s="70">
        <f t="shared" si="196"/>
        <v>2971.3</v>
      </c>
      <c r="J983" s="70">
        <f t="shared" si="208"/>
        <v>0</v>
      </c>
      <c r="K983" s="87">
        <f t="shared" si="191"/>
        <v>2971.3</v>
      </c>
      <c r="L983" s="13">
        <f t="shared" si="208"/>
        <v>-1</v>
      </c>
      <c r="M983" s="87">
        <f t="shared" si="193"/>
        <v>2970.3</v>
      </c>
      <c r="N983" s="13">
        <f t="shared" si="208"/>
        <v>0</v>
      </c>
      <c r="O983" s="87">
        <f t="shared" si="194"/>
        <v>2970.3</v>
      </c>
      <c r="P983" s="13">
        <f t="shared" si="208"/>
        <v>0</v>
      </c>
      <c r="Q983" s="87">
        <f t="shared" si="205"/>
        <v>2970.3</v>
      </c>
      <c r="R983" s="13">
        <f t="shared" si="208"/>
        <v>0</v>
      </c>
      <c r="S983" s="87">
        <f t="shared" si="203"/>
        <v>2970.3</v>
      </c>
    </row>
    <row r="984" spans="1:19" ht="33">
      <c r="A984" s="62" t="str">
        <f ca="1">IF(ISERROR(MATCH(F984,Код_КВР,0)),"",INDIRECT(ADDRESS(MATCH(F984,Код_КВР,0)+1,2,,,"КВР")))</f>
        <v>Предоставление субсидий бюджетным, автономным учреждениям и иным некоммерческим организациям</v>
      </c>
      <c r="B984" s="115">
        <v>808</v>
      </c>
      <c r="C984" s="8" t="s">
        <v>230</v>
      </c>
      <c r="D984" s="8" t="s">
        <v>221</v>
      </c>
      <c r="E984" s="115" t="s">
        <v>497</v>
      </c>
      <c r="F984" s="115">
        <v>600</v>
      </c>
      <c r="G984" s="70">
        <f t="shared" si="208"/>
        <v>2971.3</v>
      </c>
      <c r="H984" s="70">
        <f t="shared" si="208"/>
        <v>0</v>
      </c>
      <c r="I984" s="70">
        <f t="shared" si="196"/>
        <v>2971.3</v>
      </c>
      <c r="J984" s="70">
        <f t="shared" si="208"/>
        <v>0</v>
      </c>
      <c r="K984" s="87">
        <f t="shared" si="191"/>
        <v>2971.3</v>
      </c>
      <c r="L984" s="13">
        <f t="shared" si="208"/>
        <v>-1</v>
      </c>
      <c r="M984" s="87">
        <f t="shared" si="193"/>
        <v>2970.3</v>
      </c>
      <c r="N984" s="13">
        <f t="shared" si="208"/>
        <v>0</v>
      </c>
      <c r="O984" s="87">
        <f t="shared" si="194"/>
        <v>2970.3</v>
      </c>
      <c r="P984" s="13">
        <f t="shared" si="208"/>
        <v>0</v>
      </c>
      <c r="Q984" s="87">
        <f t="shared" si="205"/>
        <v>2970.3</v>
      </c>
      <c r="R984" s="13">
        <f t="shared" si="208"/>
        <v>0</v>
      </c>
      <c r="S984" s="87">
        <f t="shared" si="203"/>
        <v>2970.3</v>
      </c>
    </row>
    <row r="985" spans="1:19" ht="12.75">
      <c r="A985" s="62" t="str">
        <f ca="1">IF(ISERROR(MATCH(F985,Код_КВР,0)),"",INDIRECT(ADDRESS(MATCH(F985,Код_КВР,0)+1,2,,,"КВР")))</f>
        <v>Субсидии бюджетным учреждениям</v>
      </c>
      <c r="B985" s="115">
        <v>808</v>
      </c>
      <c r="C985" s="8" t="s">
        <v>230</v>
      </c>
      <c r="D985" s="8" t="s">
        <v>221</v>
      </c>
      <c r="E985" s="115" t="s">
        <v>497</v>
      </c>
      <c r="F985" s="115">
        <v>610</v>
      </c>
      <c r="G985" s="70">
        <f t="shared" si="208"/>
        <v>2971.3</v>
      </c>
      <c r="H985" s="70">
        <f t="shared" si="208"/>
        <v>0</v>
      </c>
      <c r="I985" s="70">
        <f t="shared" si="196"/>
        <v>2971.3</v>
      </c>
      <c r="J985" s="70">
        <f t="shared" si="208"/>
        <v>0</v>
      </c>
      <c r="K985" s="87">
        <f t="shared" si="191"/>
        <v>2971.3</v>
      </c>
      <c r="L985" s="13">
        <f t="shared" si="208"/>
        <v>-1</v>
      </c>
      <c r="M985" s="87">
        <f t="shared" si="193"/>
        <v>2970.3</v>
      </c>
      <c r="N985" s="13">
        <f t="shared" si="208"/>
        <v>0</v>
      </c>
      <c r="O985" s="87">
        <f t="shared" si="194"/>
        <v>2970.3</v>
      </c>
      <c r="P985" s="13">
        <f t="shared" si="208"/>
        <v>0</v>
      </c>
      <c r="Q985" s="87">
        <f t="shared" si="205"/>
        <v>2970.3</v>
      </c>
      <c r="R985" s="13">
        <f t="shared" si="208"/>
        <v>0</v>
      </c>
      <c r="S985" s="87">
        <f t="shared" si="203"/>
        <v>2970.3</v>
      </c>
    </row>
    <row r="986" spans="1:19" ht="49.5">
      <c r="A986" s="62" t="str">
        <f ca="1">IF(ISERROR(MATCH(F986,Код_КВР,0)),"",INDIRECT(ADDRESS(MATCH(F986,Код_КВР,0)+1,2,,,"КВР")))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6" s="115">
        <v>808</v>
      </c>
      <c r="C986" s="8" t="s">
        <v>230</v>
      </c>
      <c r="D986" s="8" t="s">
        <v>221</v>
      </c>
      <c r="E986" s="115" t="s">
        <v>497</v>
      </c>
      <c r="F986" s="115">
        <v>611</v>
      </c>
      <c r="G986" s="70">
        <v>2971.3</v>
      </c>
      <c r="H986" s="70"/>
      <c r="I986" s="70">
        <f t="shared" si="196"/>
        <v>2971.3</v>
      </c>
      <c r="J986" s="70"/>
      <c r="K986" s="87">
        <f t="shared" si="191"/>
        <v>2971.3</v>
      </c>
      <c r="L986" s="13">
        <v>-1</v>
      </c>
      <c r="M986" s="87">
        <f t="shared" si="193"/>
        <v>2970.3</v>
      </c>
      <c r="N986" s="13"/>
      <c r="O986" s="87">
        <f t="shared" si="194"/>
        <v>2970.3</v>
      </c>
      <c r="P986" s="13"/>
      <c r="Q986" s="87">
        <f t="shared" si="205"/>
        <v>2970.3</v>
      </c>
      <c r="R986" s="13"/>
      <c r="S986" s="87">
        <f t="shared" si="203"/>
        <v>2970.3</v>
      </c>
    </row>
    <row r="987" spans="1:19" ht="12.75">
      <c r="A987" s="62" t="str">
        <f ca="1">IF(ISERROR(MATCH(E987,Код_КЦСР,0)),"",INDIRECT(ADDRESS(MATCH(E987,Код_КЦСР,0)+1,2,,,"КЦСР")))</f>
        <v>Библиографическая обработка документов и организация  каталогов</v>
      </c>
      <c r="B987" s="115">
        <v>808</v>
      </c>
      <c r="C987" s="8" t="s">
        <v>230</v>
      </c>
      <c r="D987" s="8" t="s">
        <v>221</v>
      </c>
      <c r="E987" s="115" t="s">
        <v>499</v>
      </c>
      <c r="F987" s="115"/>
      <c r="G987" s="70">
        <f aca="true" t="shared" si="209" ref="G987:R989">G988</f>
        <v>4912.1</v>
      </c>
      <c r="H987" s="70">
        <f t="shared" si="209"/>
        <v>0</v>
      </c>
      <c r="I987" s="70">
        <f t="shared" si="196"/>
        <v>4912.1</v>
      </c>
      <c r="J987" s="70">
        <f t="shared" si="209"/>
        <v>0</v>
      </c>
      <c r="K987" s="87">
        <f t="shared" si="191"/>
        <v>4912.1</v>
      </c>
      <c r="L987" s="13">
        <f t="shared" si="209"/>
        <v>-1.2</v>
      </c>
      <c r="M987" s="87">
        <f t="shared" si="193"/>
        <v>4910.900000000001</v>
      </c>
      <c r="N987" s="13">
        <f t="shared" si="209"/>
        <v>0</v>
      </c>
      <c r="O987" s="87">
        <f t="shared" si="194"/>
        <v>4910.900000000001</v>
      </c>
      <c r="P987" s="13">
        <f t="shared" si="209"/>
        <v>0</v>
      </c>
      <c r="Q987" s="87">
        <f t="shared" si="205"/>
        <v>4910.900000000001</v>
      </c>
      <c r="R987" s="13">
        <f t="shared" si="209"/>
        <v>0</v>
      </c>
      <c r="S987" s="87">
        <f t="shared" si="203"/>
        <v>4910.900000000001</v>
      </c>
    </row>
    <row r="988" spans="1:19" ht="33">
      <c r="A988" s="62" t="str">
        <f ca="1">IF(ISERROR(MATCH(F988,Код_КВР,0)),"",INDIRECT(ADDRESS(MATCH(F988,Код_КВР,0)+1,2,,,"КВР")))</f>
        <v>Предоставление субсидий бюджетным, автономным учреждениям и иным некоммерческим организациям</v>
      </c>
      <c r="B988" s="115">
        <v>808</v>
      </c>
      <c r="C988" s="8" t="s">
        <v>230</v>
      </c>
      <c r="D988" s="8" t="s">
        <v>221</v>
      </c>
      <c r="E988" s="115" t="s">
        <v>499</v>
      </c>
      <c r="F988" s="115">
        <v>600</v>
      </c>
      <c r="G988" s="70">
        <f t="shared" si="209"/>
        <v>4912.1</v>
      </c>
      <c r="H988" s="70">
        <f t="shared" si="209"/>
        <v>0</v>
      </c>
      <c r="I988" s="70">
        <f t="shared" si="196"/>
        <v>4912.1</v>
      </c>
      <c r="J988" s="70">
        <f t="shared" si="209"/>
        <v>0</v>
      </c>
      <c r="K988" s="87">
        <f t="shared" si="191"/>
        <v>4912.1</v>
      </c>
      <c r="L988" s="13">
        <f t="shared" si="209"/>
        <v>-1.2</v>
      </c>
      <c r="M988" s="87">
        <f t="shared" si="193"/>
        <v>4910.900000000001</v>
      </c>
      <c r="N988" s="13">
        <f t="shared" si="209"/>
        <v>0</v>
      </c>
      <c r="O988" s="87">
        <f t="shared" si="194"/>
        <v>4910.900000000001</v>
      </c>
      <c r="P988" s="13">
        <f t="shared" si="209"/>
        <v>0</v>
      </c>
      <c r="Q988" s="87">
        <f t="shared" si="205"/>
        <v>4910.900000000001</v>
      </c>
      <c r="R988" s="13">
        <f t="shared" si="209"/>
        <v>0</v>
      </c>
      <c r="S988" s="87">
        <f t="shared" si="203"/>
        <v>4910.900000000001</v>
      </c>
    </row>
    <row r="989" spans="1:19" ht="12.75">
      <c r="A989" s="62" t="str">
        <f ca="1">IF(ISERROR(MATCH(F989,Код_КВР,0)),"",INDIRECT(ADDRESS(MATCH(F989,Код_КВР,0)+1,2,,,"КВР")))</f>
        <v>Субсидии бюджетным учреждениям</v>
      </c>
      <c r="B989" s="115">
        <v>808</v>
      </c>
      <c r="C989" s="8" t="s">
        <v>230</v>
      </c>
      <c r="D989" s="8" t="s">
        <v>221</v>
      </c>
      <c r="E989" s="115" t="s">
        <v>499</v>
      </c>
      <c r="F989" s="115">
        <v>610</v>
      </c>
      <c r="G989" s="70">
        <f t="shared" si="209"/>
        <v>4912.1</v>
      </c>
      <c r="H989" s="70">
        <f t="shared" si="209"/>
        <v>0</v>
      </c>
      <c r="I989" s="70">
        <f t="shared" si="196"/>
        <v>4912.1</v>
      </c>
      <c r="J989" s="70">
        <f t="shared" si="209"/>
        <v>0</v>
      </c>
      <c r="K989" s="87">
        <f aca="true" t="shared" si="210" ref="K989:K1058">I989+J989</f>
        <v>4912.1</v>
      </c>
      <c r="L989" s="13">
        <f t="shared" si="209"/>
        <v>-1.2</v>
      </c>
      <c r="M989" s="87">
        <f t="shared" si="193"/>
        <v>4910.900000000001</v>
      </c>
      <c r="N989" s="13">
        <f t="shared" si="209"/>
        <v>0</v>
      </c>
      <c r="O989" s="87">
        <f t="shared" si="194"/>
        <v>4910.900000000001</v>
      </c>
      <c r="P989" s="13">
        <f t="shared" si="209"/>
        <v>0</v>
      </c>
      <c r="Q989" s="87">
        <f t="shared" si="205"/>
        <v>4910.900000000001</v>
      </c>
      <c r="R989" s="13">
        <f t="shared" si="209"/>
        <v>0</v>
      </c>
      <c r="S989" s="87">
        <f t="shared" si="203"/>
        <v>4910.900000000001</v>
      </c>
    </row>
    <row r="990" spans="1:19" ht="49.5">
      <c r="A990" s="62" t="str">
        <f ca="1">IF(ISERROR(MATCH(F990,Код_КВР,0)),"",INDIRECT(ADDRESS(MATCH(F990,Код_КВР,0)+1,2,,,"КВР")))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0" s="115">
        <v>808</v>
      </c>
      <c r="C990" s="8" t="s">
        <v>230</v>
      </c>
      <c r="D990" s="8" t="s">
        <v>221</v>
      </c>
      <c r="E990" s="115" t="s">
        <v>499</v>
      </c>
      <c r="F990" s="115">
        <v>611</v>
      </c>
      <c r="G990" s="70">
        <v>4912.1</v>
      </c>
      <c r="H990" s="70"/>
      <c r="I990" s="70">
        <f t="shared" si="196"/>
        <v>4912.1</v>
      </c>
      <c r="J990" s="70"/>
      <c r="K990" s="87">
        <f t="shared" si="210"/>
        <v>4912.1</v>
      </c>
      <c r="L990" s="13">
        <v>-1.2</v>
      </c>
      <c r="M990" s="87">
        <f t="shared" si="193"/>
        <v>4910.900000000001</v>
      </c>
      <c r="N990" s="13"/>
      <c r="O990" s="87">
        <f t="shared" si="194"/>
        <v>4910.900000000001</v>
      </c>
      <c r="P990" s="13"/>
      <c r="Q990" s="87">
        <f t="shared" si="205"/>
        <v>4910.900000000001</v>
      </c>
      <c r="R990" s="13"/>
      <c r="S990" s="87">
        <f t="shared" si="203"/>
        <v>4910.900000000001</v>
      </c>
    </row>
    <row r="991" spans="1:19" ht="12.75">
      <c r="A991" s="62" t="str">
        <f ca="1">IF(ISERROR(MATCH(E991,Код_КЦСР,0)),"",INDIRECT(ADDRESS(MATCH(E991,Код_КЦСР,0)+1,2,,,"КЦСР")))</f>
        <v>Совершенствование культурно-досуговой деятельности</v>
      </c>
      <c r="B991" s="115">
        <v>808</v>
      </c>
      <c r="C991" s="8" t="s">
        <v>230</v>
      </c>
      <c r="D991" s="8" t="s">
        <v>221</v>
      </c>
      <c r="E991" s="115" t="s">
        <v>501</v>
      </c>
      <c r="F991" s="115"/>
      <c r="G991" s="70">
        <f>G992+G996</f>
        <v>40546.6</v>
      </c>
      <c r="H991" s="70">
        <f>H992+H996</f>
        <v>0</v>
      </c>
      <c r="I991" s="70">
        <f t="shared" si="196"/>
        <v>40546.6</v>
      </c>
      <c r="J991" s="70">
        <f>J992+J996</f>
        <v>0</v>
      </c>
      <c r="K991" s="87">
        <f t="shared" si="210"/>
        <v>40546.6</v>
      </c>
      <c r="L991" s="13">
        <f>L992+L996</f>
        <v>-61.7</v>
      </c>
      <c r="M991" s="87">
        <f t="shared" si="193"/>
        <v>40484.9</v>
      </c>
      <c r="N991" s="13">
        <f>N992+N996</f>
        <v>0</v>
      </c>
      <c r="O991" s="87">
        <f t="shared" si="194"/>
        <v>40484.9</v>
      </c>
      <c r="P991" s="13">
        <f>P992+P996</f>
        <v>0</v>
      </c>
      <c r="Q991" s="87">
        <f t="shared" si="205"/>
        <v>40484.9</v>
      </c>
      <c r="R991" s="13">
        <f>R992+R996</f>
        <v>-1463.7</v>
      </c>
      <c r="S991" s="87">
        <f t="shared" si="203"/>
        <v>39021.200000000004</v>
      </c>
    </row>
    <row r="992" spans="1:19" ht="12.75">
      <c r="A992" s="62" t="str">
        <f ca="1">IF(ISERROR(MATCH(E992,Код_КЦСР,0)),"",INDIRECT(ADDRESS(MATCH(E992,Код_КЦСР,0)+1,2,,,"КЦСР")))</f>
        <v>Оказание муниципальных услуг</v>
      </c>
      <c r="B992" s="115">
        <v>808</v>
      </c>
      <c r="C992" s="8" t="s">
        <v>230</v>
      </c>
      <c r="D992" s="8" t="s">
        <v>221</v>
      </c>
      <c r="E992" s="115" t="s">
        <v>508</v>
      </c>
      <c r="F992" s="115"/>
      <c r="G992" s="70">
        <f aca="true" t="shared" si="211" ref="G992:R994">G993</f>
        <v>37417.2</v>
      </c>
      <c r="H992" s="70">
        <f t="shared" si="211"/>
        <v>0</v>
      </c>
      <c r="I992" s="70">
        <f t="shared" si="196"/>
        <v>37417.2</v>
      </c>
      <c r="J992" s="70">
        <f t="shared" si="211"/>
        <v>0</v>
      </c>
      <c r="K992" s="87">
        <f t="shared" si="210"/>
        <v>37417.2</v>
      </c>
      <c r="L992" s="13">
        <f t="shared" si="211"/>
        <v>-59.5</v>
      </c>
      <c r="M992" s="87">
        <f t="shared" si="193"/>
        <v>37357.7</v>
      </c>
      <c r="N992" s="13">
        <f t="shared" si="211"/>
        <v>0</v>
      </c>
      <c r="O992" s="87">
        <f t="shared" si="194"/>
        <v>37357.7</v>
      </c>
      <c r="P992" s="13">
        <f t="shared" si="211"/>
        <v>0</v>
      </c>
      <c r="Q992" s="87">
        <f t="shared" si="205"/>
        <v>37357.7</v>
      </c>
      <c r="R992" s="13">
        <f t="shared" si="211"/>
        <v>-1463.7</v>
      </c>
      <c r="S992" s="87">
        <f t="shared" si="203"/>
        <v>35894</v>
      </c>
    </row>
    <row r="993" spans="1:19" ht="33">
      <c r="A993" s="62" t="str">
        <f ca="1">IF(ISERROR(MATCH(F993,Код_КВР,0)),"",INDIRECT(ADDRESS(MATCH(F993,Код_КВР,0)+1,2,,,"КВР")))</f>
        <v>Предоставление субсидий бюджетным, автономным учреждениям и иным некоммерческим организациям</v>
      </c>
      <c r="B993" s="115">
        <v>808</v>
      </c>
      <c r="C993" s="8" t="s">
        <v>230</v>
      </c>
      <c r="D993" s="8" t="s">
        <v>221</v>
      </c>
      <c r="E993" s="115" t="s">
        <v>508</v>
      </c>
      <c r="F993" s="115">
        <v>600</v>
      </c>
      <c r="G993" s="70">
        <f t="shared" si="211"/>
        <v>37417.2</v>
      </c>
      <c r="H993" s="70">
        <f t="shared" si="211"/>
        <v>0</v>
      </c>
      <c r="I993" s="70">
        <f t="shared" si="196"/>
        <v>37417.2</v>
      </c>
      <c r="J993" s="70">
        <f t="shared" si="211"/>
        <v>0</v>
      </c>
      <c r="K993" s="87">
        <f t="shared" si="210"/>
        <v>37417.2</v>
      </c>
      <c r="L993" s="13">
        <f t="shared" si="211"/>
        <v>-59.5</v>
      </c>
      <c r="M993" s="87">
        <f t="shared" si="193"/>
        <v>37357.7</v>
      </c>
      <c r="N993" s="13">
        <f t="shared" si="211"/>
        <v>0</v>
      </c>
      <c r="O993" s="87">
        <f t="shared" si="194"/>
        <v>37357.7</v>
      </c>
      <c r="P993" s="13">
        <f t="shared" si="211"/>
        <v>0</v>
      </c>
      <c r="Q993" s="87">
        <f t="shared" si="205"/>
        <v>37357.7</v>
      </c>
      <c r="R993" s="13">
        <f t="shared" si="211"/>
        <v>-1463.7</v>
      </c>
      <c r="S993" s="87">
        <f t="shared" si="203"/>
        <v>35894</v>
      </c>
    </row>
    <row r="994" spans="1:19" ht="12.75">
      <c r="A994" s="62" t="str">
        <f ca="1">IF(ISERROR(MATCH(F994,Код_КВР,0)),"",INDIRECT(ADDRESS(MATCH(F994,Код_КВР,0)+1,2,,,"КВР")))</f>
        <v>Субсидии бюджетным учреждениям</v>
      </c>
      <c r="B994" s="115">
        <v>808</v>
      </c>
      <c r="C994" s="8" t="s">
        <v>230</v>
      </c>
      <c r="D994" s="8" t="s">
        <v>221</v>
      </c>
      <c r="E994" s="115" t="s">
        <v>508</v>
      </c>
      <c r="F994" s="115">
        <v>610</v>
      </c>
      <c r="G994" s="70">
        <f t="shared" si="211"/>
        <v>37417.2</v>
      </c>
      <c r="H994" s="70">
        <f t="shared" si="211"/>
        <v>0</v>
      </c>
      <c r="I994" s="70">
        <f t="shared" si="196"/>
        <v>37417.2</v>
      </c>
      <c r="J994" s="70">
        <f t="shared" si="211"/>
        <v>0</v>
      </c>
      <c r="K994" s="87">
        <f t="shared" si="210"/>
        <v>37417.2</v>
      </c>
      <c r="L994" s="13">
        <f t="shared" si="211"/>
        <v>-59.5</v>
      </c>
      <c r="M994" s="87">
        <f t="shared" si="193"/>
        <v>37357.7</v>
      </c>
      <c r="N994" s="13">
        <f t="shared" si="211"/>
        <v>0</v>
      </c>
      <c r="O994" s="87">
        <f t="shared" si="194"/>
        <v>37357.7</v>
      </c>
      <c r="P994" s="13">
        <f t="shared" si="211"/>
        <v>0</v>
      </c>
      <c r="Q994" s="87">
        <f t="shared" si="205"/>
        <v>37357.7</v>
      </c>
      <c r="R994" s="13">
        <f t="shared" si="211"/>
        <v>-1463.7</v>
      </c>
      <c r="S994" s="87">
        <f t="shared" si="203"/>
        <v>35894</v>
      </c>
    </row>
    <row r="995" spans="1:19" ht="49.5">
      <c r="A995" s="62" t="str">
        <f ca="1">IF(ISERROR(MATCH(F995,Код_КВР,0)),"",INDIRECT(ADDRESS(MATCH(F995,Код_КВР,0)+1,2,,,"КВР")))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5" s="115">
        <v>808</v>
      </c>
      <c r="C995" s="8" t="s">
        <v>230</v>
      </c>
      <c r="D995" s="8" t="s">
        <v>221</v>
      </c>
      <c r="E995" s="115" t="s">
        <v>508</v>
      </c>
      <c r="F995" s="115">
        <v>611</v>
      </c>
      <c r="G995" s="70">
        <v>37417.2</v>
      </c>
      <c r="H995" s="70"/>
      <c r="I995" s="70">
        <f t="shared" si="196"/>
        <v>37417.2</v>
      </c>
      <c r="J995" s="70"/>
      <c r="K995" s="87">
        <f t="shared" si="210"/>
        <v>37417.2</v>
      </c>
      <c r="L995" s="13">
        <v>-59.5</v>
      </c>
      <c r="M995" s="87">
        <f t="shared" si="193"/>
        <v>37357.7</v>
      </c>
      <c r="N995" s="13"/>
      <c r="O995" s="87">
        <f t="shared" si="194"/>
        <v>37357.7</v>
      </c>
      <c r="P995" s="13"/>
      <c r="Q995" s="87">
        <f t="shared" si="205"/>
        <v>37357.7</v>
      </c>
      <c r="R995" s="13">
        <f>-338.5-1125.2</f>
        <v>-1463.7</v>
      </c>
      <c r="S995" s="87">
        <f t="shared" si="203"/>
        <v>35894</v>
      </c>
    </row>
    <row r="996" spans="1:19" ht="33">
      <c r="A996" s="62" t="str">
        <f ca="1">IF(ISERROR(MATCH(E996,Код_КЦСР,0)),"",INDIRECT(ADDRESS(MATCH(E996,Код_КЦСР,0)+1,2,,,"КЦСР")))</f>
        <v>Сохранение нематериального культурного наследия народов традиционной народной культуры</v>
      </c>
      <c r="B996" s="115">
        <v>808</v>
      </c>
      <c r="C996" s="8" t="s">
        <v>230</v>
      </c>
      <c r="D996" s="8" t="s">
        <v>221</v>
      </c>
      <c r="E996" s="115" t="s">
        <v>509</v>
      </c>
      <c r="F996" s="115"/>
      <c r="G996" s="70">
        <f aca="true" t="shared" si="212" ref="G996:R998">G997</f>
        <v>3129.4</v>
      </c>
      <c r="H996" s="70">
        <f t="shared" si="212"/>
        <v>0</v>
      </c>
      <c r="I996" s="70">
        <f t="shared" si="196"/>
        <v>3129.4</v>
      </c>
      <c r="J996" s="70">
        <f t="shared" si="212"/>
        <v>0</v>
      </c>
      <c r="K996" s="87">
        <f t="shared" si="210"/>
        <v>3129.4</v>
      </c>
      <c r="L996" s="13">
        <f t="shared" si="212"/>
        <v>-2.2</v>
      </c>
      <c r="M996" s="87">
        <f t="shared" si="193"/>
        <v>3127.2000000000003</v>
      </c>
      <c r="N996" s="13">
        <f t="shared" si="212"/>
        <v>0</v>
      </c>
      <c r="O996" s="87">
        <f t="shared" si="194"/>
        <v>3127.2000000000003</v>
      </c>
      <c r="P996" s="13">
        <f t="shared" si="212"/>
        <v>0</v>
      </c>
      <c r="Q996" s="87">
        <f t="shared" si="205"/>
        <v>3127.2000000000003</v>
      </c>
      <c r="R996" s="13">
        <f t="shared" si="212"/>
        <v>0</v>
      </c>
      <c r="S996" s="87">
        <f t="shared" si="203"/>
        <v>3127.2000000000003</v>
      </c>
    </row>
    <row r="997" spans="1:19" ht="33">
      <c r="A997" s="62" t="str">
        <f ca="1">IF(ISERROR(MATCH(F997,Код_КВР,0)),"",INDIRECT(ADDRESS(MATCH(F997,Код_КВР,0)+1,2,,,"КВР")))</f>
        <v>Предоставление субсидий бюджетным, автономным учреждениям и иным некоммерческим организациям</v>
      </c>
      <c r="B997" s="115">
        <v>808</v>
      </c>
      <c r="C997" s="8" t="s">
        <v>230</v>
      </c>
      <c r="D997" s="8" t="s">
        <v>221</v>
      </c>
      <c r="E997" s="115" t="s">
        <v>509</v>
      </c>
      <c r="F997" s="115">
        <v>600</v>
      </c>
      <c r="G997" s="70">
        <f t="shared" si="212"/>
        <v>3129.4</v>
      </c>
      <c r="H997" s="70">
        <f t="shared" si="212"/>
        <v>0</v>
      </c>
      <c r="I997" s="70">
        <f t="shared" si="196"/>
        <v>3129.4</v>
      </c>
      <c r="J997" s="70">
        <f t="shared" si="212"/>
        <v>0</v>
      </c>
      <c r="K997" s="87">
        <f t="shared" si="210"/>
        <v>3129.4</v>
      </c>
      <c r="L997" s="13">
        <f t="shared" si="212"/>
        <v>-2.2</v>
      </c>
      <c r="M997" s="87">
        <f t="shared" si="193"/>
        <v>3127.2000000000003</v>
      </c>
      <c r="N997" s="13">
        <f t="shared" si="212"/>
        <v>0</v>
      </c>
      <c r="O997" s="87">
        <f t="shared" si="194"/>
        <v>3127.2000000000003</v>
      </c>
      <c r="P997" s="13">
        <f t="shared" si="212"/>
        <v>0</v>
      </c>
      <c r="Q997" s="87">
        <f t="shared" si="205"/>
        <v>3127.2000000000003</v>
      </c>
      <c r="R997" s="13">
        <f t="shared" si="212"/>
        <v>0</v>
      </c>
      <c r="S997" s="87">
        <f t="shared" si="203"/>
        <v>3127.2000000000003</v>
      </c>
    </row>
    <row r="998" spans="1:19" ht="12.75">
      <c r="A998" s="62" t="str">
        <f ca="1">IF(ISERROR(MATCH(F998,Код_КВР,0)),"",INDIRECT(ADDRESS(MATCH(F998,Код_КВР,0)+1,2,,,"КВР")))</f>
        <v>Субсидии бюджетным учреждениям</v>
      </c>
      <c r="B998" s="115">
        <v>808</v>
      </c>
      <c r="C998" s="8" t="s">
        <v>230</v>
      </c>
      <c r="D998" s="8" t="s">
        <v>221</v>
      </c>
      <c r="E998" s="115" t="s">
        <v>509</v>
      </c>
      <c r="F998" s="115">
        <v>610</v>
      </c>
      <c r="G998" s="70">
        <f t="shared" si="212"/>
        <v>3129.4</v>
      </c>
      <c r="H998" s="70">
        <f t="shared" si="212"/>
        <v>0</v>
      </c>
      <c r="I998" s="70">
        <f t="shared" si="196"/>
        <v>3129.4</v>
      </c>
      <c r="J998" s="70">
        <f t="shared" si="212"/>
        <v>0</v>
      </c>
      <c r="K998" s="87">
        <f t="shared" si="210"/>
        <v>3129.4</v>
      </c>
      <c r="L998" s="13">
        <f t="shared" si="212"/>
        <v>-2.2</v>
      </c>
      <c r="M998" s="87">
        <f t="shared" si="193"/>
        <v>3127.2000000000003</v>
      </c>
      <c r="N998" s="13">
        <f t="shared" si="212"/>
        <v>0</v>
      </c>
      <c r="O998" s="87">
        <f t="shared" si="194"/>
        <v>3127.2000000000003</v>
      </c>
      <c r="P998" s="13">
        <f t="shared" si="212"/>
        <v>0</v>
      </c>
      <c r="Q998" s="87">
        <f t="shared" si="205"/>
        <v>3127.2000000000003</v>
      </c>
      <c r="R998" s="13">
        <f t="shared" si="212"/>
        <v>0</v>
      </c>
      <c r="S998" s="87">
        <f t="shared" si="203"/>
        <v>3127.2000000000003</v>
      </c>
    </row>
    <row r="999" spans="1:19" ht="49.5">
      <c r="A999" s="62" t="str">
        <f ca="1">IF(ISERROR(MATCH(F999,Код_КВР,0)),"",INDIRECT(ADDRESS(MATCH(F999,Код_КВР,0)+1,2,,,"КВР")))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9" s="115">
        <v>808</v>
      </c>
      <c r="C999" s="8" t="s">
        <v>230</v>
      </c>
      <c r="D999" s="8" t="s">
        <v>221</v>
      </c>
      <c r="E999" s="115" t="s">
        <v>509</v>
      </c>
      <c r="F999" s="115">
        <v>611</v>
      </c>
      <c r="G999" s="70">
        <v>3129.4</v>
      </c>
      <c r="H999" s="70"/>
      <c r="I999" s="70">
        <f t="shared" si="196"/>
        <v>3129.4</v>
      </c>
      <c r="J999" s="70"/>
      <c r="K999" s="87">
        <f t="shared" si="210"/>
        <v>3129.4</v>
      </c>
      <c r="L999" s="13">
        <v>-2.2</v>
      </c>
      <c r="M999" s="87">
        <f t="shared" si="193"/>
        <v>3127.2000000000003</v>
      </c>
      <c r="N999" s="13"/>
      <c r="O999" s="87">
        <f t="shared" si="194"/>
        <v>3127.2000000000003</v>
      </c>
      <c r="P999" s="13"/>
      <c r="Q999" s="87">
        <f t="shared" si="205"/>
        <v>3127.2000000000003</v>
      </c>
      <c r="R999" s="13"/>
      <c r="S999" s="87">
        <f t="shared" si="203"/>
        <v>3127.2000000000003</v>
      </c>
    </row>
    <row r="1000" spans="1:19" ht="12.75">
      <c r="A1000" s="62" t="str">
        <f ca="1">IF(ISERROR(MATCH(E1000,Код_КЦСР,0)),"",INDIRECT(ADDRESS(MATCH(E1000,Код_КЦСР,0)+1,2,,,"КЦСР")))</f>
        <v>Развитие исполнительских искусств</v>
      </c>
      <c r="B1000" s="115">
        <v>808</v>
      </c>
      <c r="C1000" s="8" t="s">
        <v>230</v>
      </c>
      <c r="D1000" s="8" t="s">
        <v>221</v>
      </c>
      <c r="E1000" s="115" t="s">
        <v>511</v>
      </c>
      <c r="F1000" s="115"/>
      <c r="G1000" s="70">
        <f>G1001</f>
        <v>100414.7</v>
      </c>
      <c r="H1000" s="70">
        <f>H1001</f>
        <v>0</v>
      </c>
      <c r="I1000" s="70">
        <f t="shared" si="196"/>
        <v>100414.7</v>
      </c>
      <c r="J1000" s="70">
        <f>J1001</f>
        <v>-512.8</v>
      </c>
      <c r="K1000" s="87">
        <f t="shared" si="210"/>
        <v>99901.9</v>
      </c>
      <c r="L1000" s="13">
        <f>L1001</f>
        <v>-72.9</v>
      </c>
      <c r="M1000" s="87">
        <f aca="true" t="shared" si="213" ref="M1000:M1063">K1000+L1000</f>
        <v>99829</v>
      </c>
      <c r="N1000" s="13">
        <f>N1001</f>
        <v>0</v>
      </c>
      <c r="O1000" s="87">
        <f aca="true" t="shared" si="214" ref="O1000:O1063">M1000+N1000</f>
        <v>99829</v>
      </c>
      <c r="P1000" s="13">
        <f>P1001</f>
        <v>140.2</v>
      </c>
      <c r="Q1000" s="87">
        <f t="shared" si="205"/>
        <v>99969.2</v>
      </c>
      <c r="R1000" s="13">
        <f>R1001</f>
        <v>-8874.4</v>
      </c>
      <c r="S1000" s="87">
        <f t="shared" si="203"/>
        <v>91094.8</v>
      </c>
    </row>
    <row r="1001" spans="1:19" ht="12.75">
      <c r="A1001" s="62" t="str">
        <f ca="1">IF(ISERROR(MATCH(E1001,Код_КЦСР,0)),"",INDIRECT(ADDRESS(MATCH(E1001,Код_КЦСР,0)+1,2,,,"КЦСР")))</f>
        <v>Оказание муниципальных услуг</v>
      </c>
      <c r="B1001" s="115">
        <v>808</v>
      </c>
      <c r="C1001" s="8" t="s">
        <v>230</v>
      </c>
      <c r="D1001" s="8" t="s">
        <v>221</v>
      </c>
      <c r="E1001" s="115" t="s">
        <v>515</v>
      </c>
      <c r="F1001" s="115"/>
      <c r="G1001" s="70">
        <f>G1002</f>
        <v>100414.7</v>
      </c>
      <c r="H1001" s="70">
        <f>H1002</f>
        <v>0</v>
      </c>
      <c r="I1001" s="70">
        <f t="shared" si="196"/>
        <v>100414.7</v>
      </c>
      <c r="J1001" s="70">
        <f>J1002</f>
        <v>-512.8</v>
      </c>
      <c r="K1001" s="87">
        <f t="shared" si="210"/>
        <v>99901.9</v>
      </c>
      <c r="L1001" s="13">
        <f>L1002</f>
        <v>-72.9</v>
      </c>
      <c r="M1001" s="87">
        <f t="shared" si="213"/>
        <v>99829</v>
      </c>
      <c r="N1001" s="13">
        <f>N1002</f>
        <v>0</v>
      </c>
      <c r="O1001" s="87">
        <f t="shared" si="214"/>
        <v>99829</v>
      </c>
      <c r="P1001" s="13">
        <f>P1002</f>
        <v>140.2</v>
      </c>
      <c r="Q1001" s="87">
        <f t="shared" si="205"/>
        <v>99969.2</v>
      </c>
      <c r="R1001" s="13">
        <f>R1002</f>
        <v>-8874.4</v>
      </c>
      <c r="S1001" s="87">
        <f t="shared" si="203"/>
        <v>91094.8</v>
      </c>
    </row>
    <row r="1002" spans="1:19" ht="33">
      <c r="A1002" s="62" t="str">
        <f ca="1">IF(ISERROR(MATCH(F1002,Код_КВР,0)),"",INDIRECT(ADDRESS(MATCH(F1002,Код_КВР,0)+1,2,,,"КВР")))</f>
        <v>Предоставление субсидий бюджетным, автономным учреждениям и иным некоммерческим организациям</v>
      </c>
      <c r="B1002" s="115">
        <v>808</v>
      </c>
      <c r="C1002" s="8" t="s">
        <v>230</v>
      </c>
      <c r="D1002" s="8" t="s">
        <v>221</v>
      </c>
      <c r="E1002" s="115" t="s">
        <v>515</v>
      </c>
      <c r="F1002" s="115">
        <v>600</v>
      </c>
      <c r="G1002" s="70">
        <f>G1003+G1005</f>
        <v>100414.7</v>
      </c>
      <c r="H1002" s="70">
        <f>H1003+H1005</f>
        <v>0</v>
      </c>
      <c r="I1002" s="70">
        <f t="shared" si="196"/>
        <v>100414.7</v>
      </c>
      <c r="J1002" s="70">
        <f>J1003+J1005</f>
        <v>-512.8</v>
      </c>
      <c r="K1002" s="87">
        <f t="shared" si="210"/>
        <v>99901.9</v>
      </c>
      <c r="L1002" s="13">
        <f>L1003+L1005</f>
        <v>-72.9</v>
      </c>
      <c r="M1002" s="87">
        <f t="shared" si="213"/>
        <v>99829</v>
      </c>
      <c r="N1002" s="13">
        <f>N1003+N1005</f>
        <v>0</v>
      </c>
      <c r="O1002" s="87">
        <f t="shared" si="214"/>
        <v>99829</v>
      </c>
      <c r="P1002" s="13">
        <f>P1003+P1005</f>
        <v>140.2</v>
      </c>
      <c r="Q1002" s="87">
        <f t="shared" si="205"/>
        <v>99969.2</v>
      </c>
      <c r="R1002" s="13">
        <f>R1003+R1005</f>
        <v>-8874.4</v>
      </c>
      <c r="S1002" s="87">
        <f t="shared" si="203"/>
        <v>91094.8</v>
      </c>
    </row>
    <row r="1003" spans="1:19" ht="12.75">
      <c r="A1003" s="62" t="str">
        <f ca="1">IF(ISERROR(MATCH(F1003,Код_КВР,0)),"",INDIRECT(ADDRESS(MATCH(F1003,Код_КВР,0)+1,2,,,"КВР")))</f>
        <v>Субсидии бюджетным учреждениям</v>
      </c>
      <c r="B1003" s="115">
        <v>808</v>
      </c>
      <c r="C1003" s="8" t="s">
        <v>230</v>
      </c>
      <c r="D1003" s="8" t="s">
        <v>221</v>
      </c>
      <c r="E1003" s="115" t="s">
        <v>515</v>
      </c>
      <c r="F1003" s="115">
        <v>610</v>
      </c>
      <c r="G1003" s="70">
        <f>G1004</f>
        <v>88342.5</v>
      </c>
      <c r="H1003" s="70">
        <f>H1004</f>
        <v>0</v>
      </c>
      <c r="I1003" s="70">
        <f t="shared" si="196"/>
        <v>88342.5</v>
      </c>
      <c r="J1003" s="70">
        <f>J1004</f>
        <v>-512.8</v>
      </c>
      <c r="K1003" s="87">
        <f t="shared" si="210"/>
        <v>87829.7</v>
      </c>
      <c r="L1003" s="13">
        <f>L1004</f>
        <v>-50.9</v>
      </c>
      <c r="M1003" s="87">
        <f t="shared" si="213"/>
        <v>87778.8</v>
      </c>
      <c r="N1003" s="13">
        <f>N1004</f>
        <v>0</v>
      </c>
      <c r="O1003" s="87">
        <f t="shared" si="214"/>
        <v>87778.8</v>
      </c>
      <c r="P1003" s="13">
        <f>P1004</f>
        <v>140.2</v>
      </c>
      <c r="Q1003" s="87">
        <f t="shared" si="205"/>
        <v>87919</v>
      </c>
      <c r="R1003" s="13">
        <f>R1004</f>
        <v>-8874.4</v>
      </c>
      <c r="S1003" s="87">
        <f t="shared" si="203"/>
        <v>79044.6</v>
      </c>
    </row>
    <row r="1004" spans="1:19" ht="49.5">
      <c r="A1004" s="62" t="str">
        <f ca="1">IF(ISERROR(MATCH(F1004,Код_КВР,0)),"",INDIRECT(ADDRESS(MATCH(F1004,Код_КВР,0)+1,2,,,"КВР")))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04" s="115">
        <v>808</v>
      </c>
      <c r="C1004" s="8" t="s">
        <v>230</v>
      </c>
      <c r="D1004" s="8" t="s">
        <v>221</v>
      </c>
      <c r="E1004" s="115" t="s">
        <v>515</v>
      </c>
      <c r="F1004" s="115">
        <v>611</v>
      </c>
      <c r="G1004" s="70">
        <v>88342.5</v>
      </c>
      <c r="H1004" s="70"/>
      <c r="I1004" s="70">
        <f aca="true" t="shared" si="215" ref="I1004:I1073">G1004+H1004</f>
        <v>88342.5</v>
      </c>
      <c r="J1004" s="70">
        <v>-512.8</v>
      </c>
      <c r="K1004" s="87">
        <f t="shared" si="210"/>
        <v>87829.7</v>
      </c>
      <c r="L1004" s="13">
        <v>-50.9</v>
      </c>
      <c r="M1004" s="87">
        <f t="shared" si="213"/>
        <v>87778.8</v>
      </c>
      <c r="N1004" s="13"/>
      <c r="O1004" s="87">
        <f t="shared" si="214"/>
        <v>87778.8</v>
      </c>
      <c r="P1004" s="13">
        <v>140.2</v>
      </c>
      <c r="Q1004" s="87">
        <f t="shared" si="205"/>
        <v>87919</v>
      </c>
      <c r="R1004" s="13">
        <v>-8874.4</v>
      </c>
      <c r="S1004" s="87">
        <f t="shared" si="203"/>
        <v>79044.6</v>
      </c>
    </row>
    <row r="1005" spans="1:19" ht="12.75">
      <c r="A1005" s="62" t="str">
        <f ca="1">IF(ISERROR(MATCH(F1005,Код_КВР,0)),"",INDIRECT(ADDRESS(MATCH(F1005,Код_КВР,0)+1,2,,,"КВР")))</f>
        <v>Субсидии автономным учреждениям</v>
      </c>
      <c r="B1005" s="115">
        <v>808</v>
      </c>
      <c r="C1005" s="8" t="s">
        <v>230</v>
      </c>
      <c r="D1005" s="8" t="s">
        <v>221</v>
      </c>
      <c r="E1005" s="115" t="s">
        <v>515</v>
      </c>
      <c r="F1005" s="115">
        <v>620</v>
      </c>
      <c r="G1005" s="70">
        <f>G1006</f>
        <v>12072.2</v>
      </c>
      <c r="H1005" s="70">
        <f>H1006</f>
        <v>0</v>
      </c>
      <c r="I1005" s="70">
        <f t="shared" si="215"/>
        <v>12072.2</v>
      </c>
      <c r="J1005" s="70">
        <f>J1006</f>
        <v>0</v>
      </c>
      <c r="K1005" s="87">
        <f t="shared" si="210"/>
        <v>12072.2</v>
      </c>
      <c r="L1005" s="13">
        <f>L1006</f>
        <v>-22</v>
      </c>
      <c r="M1005" s="87">
        <f t="shared" si="213"/>
        <v>12050.2</v>
      </c>
      <c r="N1005" s="13">
        <f>N1006</f>
        <v>0</v>
      </c>
      <c r="O1005" s="87">
        <f t="shared" si="214"/>
        <v>12050.2</v>
      </c>
      <c r="P1005" s="13">
        <f>P1006</f>
        <v>0</v>
      </c>
      <c r="Q1005" s="87">
        <f t="shared" si="205"/>
        <v>12050.2</v>
      </c>
      <c r="R1005" s="13">
        <f>R1006</f>
        <v>0</v>
      </c>
      <c r="S1005" s="87">
        <f t="shared" si="203"/>
        <v>12050.2</v>
      </c>
    </row>
    <row r="1006" spans="1:19" ht="49.5">
      <c r="A1006" s="62" t="str">
        <f ca="1">IF(ISERROR(MATCH(F1006,Код_КВР,0)),"",INDIRECT(ADDRESS(MATCH(F1006,Код_КВР,0)+1,2,,,"КВР")))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06" s="115">
        <v>808</v>
      </c>
      <c r="C1006" s="8" t="s">
        <v>230</v>
      </c>
      <c r="D1006" s="8" t="s">
        <v>221</v>
      </c>
      <c r="E1006" s="115" t="s">
        <v>515</v>
      </c>
      <c r="F1006" s="115">
        <v>621</v>
      </c>
      <c r="G1006" s="70">
        <v>12072.2</v>
      </c>
      <c r="H1006" s="70"/>
      <c r="I1006" s="70">
        <f t="shared" si="215"/>
        <v>12072.2</v>
      </c>
      <c r="J1006" s="70"/>
      <c r="K1006" s="87">
        <f t="shared" si="210"/>
        <v>12072.2</v>
      </c>
      <c r="L1006" s="13">
        <v>-22</v>
      </c>
      <c r="M1006" s="87">
        <f t="shared" si="213"/>
        <v>12050.2</v>
      </c>
      <c r="N1006" s="13"/>
      <c r="O1006" s="87">
        <f t="shared" si="214"/>
        <v>12050.2</v>
      </c>
      <c r="P1006" s="13"/>
      <c r="Q1006" s="87">
        <f t="shared" si="205"/>
        <v>12050.2</v>
      </c>
      <c r="R1006" s="13"/>
      <c r="S1006" s="87">
        <f t="shared" si="203"/>
        <v>12050.2</v>
      </c>
    </row>
    <row r="1007" spans="1:19" ht="12.75">
      <c r="A1007" s="62" t="str">
        <f ca="1">IF(ISERROR(MATCH(E1007,Код_КЦСР,0)),"",INDIRECT(ADDRESS(MATCH(E1007,Код_КЦСР,0)+1,2,,,"КЦСР")))</f>
        <v>Формирование постиндустриального образа города Череповца</v>
      </c>
      <c r="B1007" s="115">
        <v>808</v>
      </c>
      <c r="C1007" s="8" t="s">
        <v>230</v>
      </c>
      <c r="D1007" s="8" t="s">
        <v>221</v>
      </c>
      <c r="E1007" s="115" t="s">
        <v>516</v>
      </c>
      <c r="F1007" s="115"/>
      <c r="G1007" s="70">
        <f aca="true" t="shared" si="216" ref="G1007:R1010">G1008</f>
        <v>5383.8</v>
      </c>
      <c r="H1007" s="70">
        <f t="shared" si="216"/>
        <v>0</v>
      </c>
      <c r="I1007" s="70">
        <f t="shared" si="215"/>
        <v>5383.8</v>
      </c>
      <c r="J1007" s="70">
        <f t="shared" si="216"/>
        <v>0</v>
      </c>
      <c r="K1007" s="87">
        <f t="shared" si="210"/>
        <v>5383.8</v>
      </c>
      <c r="L1007" s="13">
        <f t="shared" si="216"/>
        <v>0</v>
      </c>
      <c r="M1007" s="87">
        <f t="shared" si="213"/>
        <v>5383.8</v>
      </c>
      <c r="N1007" s="13">
        <f t="shared" si="216"/>
        <v>0</v>
      </c>
      <c r="O1007" s="87">
        <f t="shared" si="214"/>
        <v>5383.8</v>
      </c>
      <c r="P1007" s="13">
        <f t="shared" si="216"/>
        <v>0</v>
      </c>
      <c r="Q1007" s="87">
        <f t="shared" si="205"/>
        <v>5383.8</v>
      </c>
      <c r="R1007" s="13">
        <f t="shared" si="216"/>
        <v>0</v>
      </c>
      <c r="S1007" s="87">
        <f t="shared" si="203"/>
        <v>5383.8</v>
      </c>
    </row>
    <row r="1008" spans="1:19" ht="12.75">
      <c r="A1008" s="62" t="str">
        <f ca="1">IF(ISERROR(MATCH(E1008,Код_КЦСР,0)),"",INDIRECT(ADDRESS(MATCH(E1008,Код_КЦСР,0)+1,2,,,"КЦСР")))</f>
        <v xml:space="preserve">Организация и проведение городских культурно- массовых мероприятий </v>
      </c>
      <c r="B1008" s="115">
        <v>808</v>
      </c>
      <c r="C1008" s="8" t="s">
        <v>230</v>
      </c>
      <c r="D1008" s="8" t="s">
        <v>221</v>
      </c>
      <c r="E1008" s="115" t="s">
        <v>520</v>
      </c>
      <c r="F1008" s="115"/>
      <c r="G1008" s="70">
        <f t="shared" si="216"/>
        <v>5383.8</v>
      </c>
      <c r="H1008" s="70">
        <f t="shared" si="216"/>
        <v>0</v>
      </c>
      <c r="I1008" s="70">
        <f t="shared" si="215"/>
        <v>5383.8</v>
      </c>
      <c r="J1008" s="70">
        <f t="shared" si="216"/>
        <v>0</v>
      </c>
      <c r="K1008" s="87">
        <f t="shared" si="210"/>
        <v>5383.8</v>
      </c>
      <c r="L1008" s="13">
        <f t="shared" si="216"/>
        <v>0</v>
      </c>
      <c r="M1008" s="87">
        <f t="shared" si="213"/>
        <v>5383.8</v>
      </c>
      <c r="N1008" s="13">
        <f t="shared" si="216"/>
        <v>0</v>
      </c>
      <c r="O1008" s="87">
        <f t="shared" si="214"/>
        <v>5383.8</v>
      </c>
      <c r="P1008" s="13">
        <f t="shared" si="216"/>
        <v>0</v>
      </c>
      <c r="Q1008" s="87">
        <f t="shared" si="205"/>
        <v>5383.8</v>
      </c>
      <c r="R1008" s="13">
        <f t="shared" si="216"/>
        <v>0</v>
      </c>
      <c r="S1008" s="87">
        <f t="shared" si="203"/>
        <v>5383.8</v>
      </c>
    </row>
    <row r="1009" spans="1:19" ht="33">
      <c r="A1009" s="62" t="str">
        <f ca="1">IF(ISERROR(MATCH(F1009,Код_КВР,0)),"",INDIRECT(ADDRESS(MATCH(F1009,Код_КВР,0)+1,2,,,"КВР")))</f>
        <v>Предоставление субсидий бюджетным, автономным учреждениям и иным некоммерческим организациям</v>
      </c>
      <c r="B1009" s="115">
        <v>808</v>
      </c>
      <c r="C1009" s="8" t="s">
        <v>230</v>
      </c>
      <c r="D1009" s="8" t="s">
        <v>221</v>
      </c>
      <c r="E1009" s="115" t="s">
        <v>520</v>
      </c>
      <c r="F1009" s="115">
        <v>600</v>
      </c>
      <c r="G1009" s="70">
        <f t="shared" si="216"/>
        <v>5383.8</v>
      </c>
      <c r="H1009" s="70">
        <f t="shared" si="216"/>
        <v>0</v>
      </c>
      <c r="I1009" s="70">
        <f t="shared" si="215"/>
        <v>5383.8</v>
      </c>
      <c r="J1009" s="70">
        <f t="shared" si="216"/>
        <v>0</v>
      </c>
      <c r="K1009" s="87">
        <f t="shared" si="210"/>
        <v>5383.8</v>
      </c>
      <c r="L1009" s="13">
        <f t="shared" si="216"/>
        <v>0</v>
      </c>
      <c r="M1009" s="87">
        <f t="shared" si="213"/>
        <v>5383.8</v>
      </c>
      <c r="N1009" s="13">
        <f t="shared" si="216"/>
        <v>0</v>
      </c>
      <c r="O1009" s="87">
        <f t="shared" si="214"/>
        <v>5383.8</v>
      </c>
      <c r="P1009" s="13">
        <f t="shared" si="216"/>
        <v>0</v>
      </c>
      <c r="Q1009" s="87">
        <f t="shared" si="205"/>
        <v>5383.8</v>
      </c>
      <c r="R1009" s="13">
        <f t="shared" si="216"/>
        <v>0</v>
      </c>
      <c r="S1009" s="87">
        <f t="shared" si="203"/>
        <v>5383.8</v>
      </c>
    </row>
    <row r="1010" spans="1:19" ht="12.75">
      <c r="A1010" s="62" t="str">
        <f ca="1">IF(ISERROR(MATCH(F1010,Код_КВР,0)),"",INDIRECT(ADDRESS(MATCH(F1010,Код_КВР,0)+1,2,,,"КВР")))</f>
        <v>Субсидии бюджетным учреждениям</v>
      </c>
      <c r="B1010" s="115">
        <v>808</v>
      </c>
      <c r="C1010" s="8" t="s">
        <v>230</v>
      </c>
      <c r="D1010" s="8" t="s">
        <v>221</v>
      </c>
      <c r="E1010" s="115" t="s">
        <v>520</v>
      </c>
      <c r="F1010" s="115">
        <v>610</v>
      </c>
      <c r="G1010" s="70">
        <f t="shared" si="216"/>
        <v>5383.8</v>
      </c>
      <c r="H1010" s="70">
        <f t="shared" si="216"/>
        <v>0</v>
      </c>
      <c r="I1010" s="70">
        <f t="shared" si="215"/>
        <v>5383.8</v>
      </c>
      <c r="J1010" s="70">
        <f t="shared" si="216"/>
        <v>0</v>
      </c>
      <c r="K1010" s="87">
        <f t="shared" si="210"/>
        <v>5383.8</v>
      </c>
      <c r="L1010" s="13">
        <f t="shared" si="216"/>
        <v>0</v>
      </c>
      <c r="M1010" s="87">
        <f t="shared" si="213"/>
        <v>5383.8</v>
      </c>
      <c r="N1010" s="13">
        <f t="shared" si="216"/>
        <v>0</v>
      </c>
      <c r="O1010" s="87">
        <f t="shared" si="214"/>
        <v>5383.8</v>
      </c>
      <c r="P1010" s="13">
        <f t="shared" si="216"/>
        <v>0</v>
      </c>
      <c r="Q1010" s="87">
        <f t="shared" si="205"/>
        <v>5383.8</v>
      </c>
      <c r="R1010" s="13">
        <f t="shared" si="216"/>
        <v>0</v>
      </c>
      <c r="S1010" s="87">
        <f t="shared" si="203"/>
        <v>5383.8</v>
      </c>
    </row>
    <row r="1011" spans="1:19" ht="49.5">
      <c r="A1011" s="62" t="str">
        <f ca="1">IF(ISERROR(MATCH(F1011,Код_КВР,0)),"",INDIRECT(ADDRESS(MATCH(F1011,Код_КВР,0)+1,2,,,"КВР")))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1" s="115">
        <v>808</v>
      </c>
      <c r="C1011" s="8" t="s">
        <v>230</v>
      </c>
      <c r="D1011" s="8" t="s">
        <v>221</v>
      </c>
      <c r="E1011" s="115" t="s">
        <v>520</v>
      </c>
      <c r="F1011" s="115">
        <v>611</v>
      </c>
      <c r="G1011" s="70">
        <v>5383.8</v>
      </c>
      <c r="H1011" s="70"/>
      <c r="I1011" s="70">
        <f t="shared" si="215"/>
        <v>5383.8</v>
      </c>
      <c r="J1011" s="70"/>
      <c r="K1011" s="87">
        <f t="shared" si="210"/>
        <v>5383.8</v>
      </c>
      <c r="L1011" s="13"/>
      <c r="M1011" s="87">
        <f t="shared" si="213"/>
        <v>5383.8</v>
      </c>
      <c r="N1011" s="13"/>
      <c r="O1011" s="87">
        <f t="shared" si="214"/>
        <v>5383.8</v>
      </c>
      <c r="P1011" s="13"/>
      <c r="Q1011" s="87">
        <f t="shared" si="205"/>
        <v>5383.8</v>
      </c>
      <c r="R1011" s="13"/>
      <c r="S1011" s="87">
        <f t="shared" si="203"/>
        <v>5383.8</v>
      </c>
    </row>
    <row r="1012" spans="1:19" ht="12.75">
      <c r="A1012" s="62" t="str">
        <f ca="1">IF(ISERROR(MATCH(E1012,Код_КЦСР,0)),"",INDIRECT(ADDRESS(MATCH(E1012,Код_КЦСР,0)+1,2,,,"КЦСР")))</f>
        <v xml:space="preserve">Индустрия отдыха на территориях парков культуры и отдыха </v>
      </c>
      <c r="B1012" s="115">
        <v>808</v>
      </c>
      <c r="C1012" s="8" t="s">
        <v>230</v>
      </c>
      <c r="D1012" s="8" t="s">
        <v>221</v>
      </c>
      <c r="E1012" s="115" t="s">
        <v>522</v>
      </c>
      <c r="F1012" s="115"/>
      <c r="G1012" s="70">
        <f aca="true" t="shared" si="217" ref="G1012:R1015">G1013</f>
        <v>4501.2</v>
      </c>
      <c r="H1012" s="70">
        <f t="shared" si="217"/>
        <v>0</v>
      </c>
      <c r="I1012" s="70">
        <f t="shared" si="215"/>
        <v>4501.2</v>
      </c>
      <c r="J1012" s="70">
        <f t="shared" si="217"/>
        <v>0</v>
      </c>
      <c r="K1012" s="87">
        <f t="shared" si="210"/>
        <v>4501.2</v>
      </c>
      <c r="L1012" s="13">
        <f t="shared" si="217"/>
        <v>0</v>
      </c>
      <c r="M1012" s="87">
        <f t="shared" si="213"/>
        <v>4501.2</v>
      </c>
      <c r="N1012" s="13">
        <f t="shared" si="217"/>
        <v>0</v>
      </c>
      <c r="O1012" s="87">
        <f t="shared" si="214"/>
        <v>4501.2</v>
      </c>
      <c r="P1012" s="13">
        <f t="shared" si="217"/>
        <v>0</v>
      </c>
      <c r="Q1012" s="87">
        <f t="shared" si="205"/>
        <v>4501.2</v>
      </c>
      <c r="R1012" s="13">
        <f t="shared" si="217"/>
        <v>0</v>
      </c>
      <c r="S1012" s="87">
        <f t="shared" si="203"/>
        <v>4501.2</v>
      </c>
    </row>
    <row r="1013" spans="1:19" ht="12.75">
      <c r="A1013" s="62" t="str">
        <f ca="1">IF(ISERROR(MATCH(E1013,Код_КЦСР,0)),"",INDIRECT(ADDRESS(MATCH(E1013,Код_КЦСР,0)+1,2,,,"КЦСР")))</f>
        <v>Работа по организации досуга населения на базе парков культуры и отдыха</v>
      </c>
      <c r="B1013" s="115">
        <v>808</v>
      </c>
      <c r="C1013" s="8" t="s">
        <v>230</v>
      </c>
      <c r="D1013" s="8" t="s">
        <v>221</v>
      </c>
      <c r="E1013" s="115" t="s">
        <v>524</v>
      </c>
      <c r="F1013" s="115"/>
      <c r="G1013" s="70">
        <f t="shared" si="217"/>
        <v>4501.2</v>
      </c>
      <c r="H1013" s="70">
        <f t="shared" si="217"/>
        <v>0</v>
      </c>
      <c r="I1013" s="70">
        <f t="shared" si="215"/>
        <v>4501.2</v>
      </c>
      <c r="J1013" s="70">
        <f t="shared" si="217"/>
        <v>0</v>
      </c>
      <c r="K1013" s="87">
        <f t="shared" si="210"/>
        <v>4501.2</v>
      </c>
      <c r="L1013" s="13">
        <f t="shared" si="217"/>
        <v>0</v>
      </c>
      <c r="M1013" s="87">
        <f t="shared" si="213"/>
        <v>4501.2</v>
      </c>
      <c r="N1013" s="13">
        <f t="shared" si="217"/>
        <v>0</v>
      </c>
      <c r="O1013" s="87">
        <f t="shared" si="214"/>
        <v>4501.2</v>
      </c>
      <c r="P1013" s="13">
        <f t="shared" si="217"/>
        <v>0</v>
      </c>
      <c r="Q1013" s="87">
        <f t="shared" si="205"/>
        <v>4501.2</v>
      </c>
      <c r="R1013" s="13">
        <f t="shared" si="217"/>
        <v>0</v>
      </c>
      <c r="S1013" s="87">
        <f t="shared" si="203"/>
        <v>4501.2</v>
      </c>
    </row>
    <row r="1014" spans="1:19" ht="33">
      <c r="A1014" s="62" t="str">
        <f ca="1">IF(ISERROR(MATCH(F1014,Код_КВР,0)),"",INDIRECT(ADDRESS(MATCH(F1014,Код_КВР,0)+1,2,,,"КВР")))</f>
        <v>Предоставление субсидий бюджетным, автономным учреждениям и иным некоммерческим организациям</v>
      </c>
      <c r="B1014" s="115">
        <v>808</v>
      </c>
      <c r="C1014" s="8" t="s">
        <v>230</v>
      </c>
      <c r="D1014" s="8" t="s">
        <v>221</v>
      </c>
      <c r="E1014" s="115" t="s">
        <v>524</v>
      </c>
      <c r="F1014" s="115">
        <v>600</v>
      </c>
      <c r="G1014" s="70">
        <f t="shared" si="217"/>
        <v>4501.2</v>
      </c>
      <c r="H1014" s="70">
        <f t="shared" si="217"/>
        <v>0</v>
      </c>
      <c r="I1014" s="70">
        <f t="shared" si="215"/>
        <v>4501.2</v>
      </c>
      <c r="J1014" s="70">
        <f t="shared" si="217"/>
        <v>0</v>
      </c>
      <c r="K1014" s="87">
        <f t="shared" si="210"/>
        <v>4501.2</v>
      </c>
      <c r="L1014" s="13">
        <f t="shared" si="217"/>
        <v>0</v>
      </c>
      <c r="M1014" s="87">
        <f t="shared" si="213"/>
        <v>4501.2</v>
      </c>
      <c r="N1014" s="13">
        <f t="shared" si="217"/>
        <v>0</v>
      </c>
      <c r="O1014" s="87">
        <f t="shared" si="214"/>
        <v>4501.2</v>
      </c>
      <c r="P1014" s="13">
        <f t="shared" si="217"/>
        <v>0</v>
      </c>
      <c r="Q1014" s="87">
        <f t="shared" si="205"/>
        <v>4501.2</v>
      </c>
      <c r="R1014" s="13">
        <f t="shared" si="217"/>
        <v>0</v>
      </c>
      <c r="S1014" s="87">
        <f t="shared" si="203"/>
        <v>4501.2</v>
      </c>
    </row>
    <row r="1015" spans="1:19" ht="12.75">
      <c r="A1015" s="62" t="str">
        <f ca="1">IF(ISERROR(MATCH(F1015,Код_КВР,0)),"",INDIRECT(ADDRESS(MATCH(F1015,Код_КВР,0)+1,2,,,"КВР")))</f>
        <v>Субсидии автономным учреждениям</v>
      </c>
      <c r="B1015" s="115">
        <v>808</v>
      </c>
      <c r="C1015" s="8" t="s">
        <v>230</v>
      </c>
      <c r="D1015" s="8" t="s">
        <v>221</v>
      </c>
      <c r="E1015" s="115" t="s">
        <v>524</v>
      </c>
      <c r="F1015" s="115">
        <v>620</v>
      </c>
      <c r="G1015" s="70">
        <f t="shared" si="217"/>
        <v>4501.2</v>
      </c>
      <c r="H1015" s="70">
        <f t="shared" si="217"/>
        <v>0</v>
      </c>
      <c r="I1015" s="70">
        <f t="shared" si="215"/>
        <v>4501.2</v>
      </c>
      <c r="J1015" s="70">
        <f t="shared" si="217"/>
        <v>0</v>
      </c>
      <c r="K1015" s="87">
        <f t="shared" si="210"/>
        <v>4501.2</v>
      </c>
      <c r="L1015" s="13">
        <f t="shared" si="217"/>
        <v>0</v>
      </c>
      <c r="M1015" s="87">
        <f t="shared" si="213"/>
        <v>4501.2</v>
      </c>
      <c r="N1015" s="13">
        <f t="shared" si="217"/>
        <v>0</v>
      </c>
      <c r="O1015" s="87">
        <f t="shared" si="214"/>
        <v>4501.2</v>
      </c>
      <c r="P1015" s="13">
        <f t="shared" si="217"/>
        <v>0</v>
      </c>
      <c r="Q1015" s="87">
        <f t="shared" si="205"/>
        <v>4501.2</v>
      </c>
      <c r="R1015" s="13">
        <f t="shared" si="217"/>
        <v>0</v>
      </c>
      <c r="S1015" s="87">
        <f t="shared" si="203"/>
        <v>4501.2</v>
      </c>
    </row>
    <row r="1016" spans="1:19" ht="49.5">
      <c r="A1016" s="62" t="str">
        <f ca="1">IF(ISERROR(MATCH(F1016,Код_КВР,0)),"",INDIRECT(ADDRESS(MATCH(F1016,Код_КВР,0)+1,2,,,"КВР")))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6" s="115">
        <v>808</v>
      </c>
      <c r="C1016" s="8" t="s">
        <v>230</v>
      </c>
      <c r="D1016" s="8" t="s">
        <v>221</v>
      </c>
      <c r="E1016" s="115" t="s">
        <v>524</v>
      </c>
      <c r="F1016" s="115">
        <v>621</v>
      </c>
      <c r="G1016" s="70">
        <v>4501.2</v>
      </c>
      <c r="H1016" s="70"/>
      <c r="I1016" s="70">
        <f t="shared" si="215"/>
        <v>4501.2</v>
      </c>
      <c r="J1016" s="70"/>
      <c r="K1016" s="87">
        <f t="shared" si="210"/>
        <v>4501.2</v>
      </c>
      <c r="L1016" s="13"/>
      <c r="M1016" s="87">
        <f t="shared" si="213"/>
        <v>4501.2</v>
      </c>
      <c r="N1016" s="13"/>
      <c r="O1016" s="87">
        <f t="shared" si="214"/>
        <v>4501.2</v>
      </c>
      <c r="P1016" s="13"/>
      <c r="Q1016" s="87">
        <f t="shared" si="205"/>
        <v>4501.2</v>
      </c>
      <c r="R1016" s="13"/>
      <c r="S1016" s="87">
        <f t="shared" si="203"/>
        <v>4501.2</v>
      </c>
    </row>
    <row r="1017" spans="1:19" ht="33">
      <c r="A1017" s="62" t="str">
        <f ca="1">IF(ISERROR(MATCH(E1017,Код_КЦСР,0)),"",INDIRECT(ADDRESS(MATCH(E1017,Код_КЦСР,0)+1,2,,,"КЦСР")))</f>
        <v>Непрограммные направления деятельности органов местного самоуправления</v>
      </c>
      <c r="B1017" s="115">
        <v>808</v>
      </c>
      <c r="C1017" s="8" t="s">
        <v>230</v>
      </c>
      <c r="D1017" s="8" t="s">
        <v>221</v>
      </c>
      <c r="E1017" s="115" t="s">
        <v>307</v>
      </c>
      <c r="F1017" s="115"/>
      <c r="G1017" s="70"/>
      <c r="H1017" s="70"/>
      <c r="I1017" s="70"/>
      <c r="J1017" s="70">
        <f>J1018</f>
        <v>33</v>
      </c>
      <c r="K1017" s="87">
        <f t="shared" si="210"/>
        <v>33</v>
      </c>
      <c r="L1017" s="13">
        <f>L1018</f>
        <v>0</v>
      </c>
      <c r="M1017" s="87">
        <f t="shared" si="213"/>
        <v>33</v>
      </c>
      <c r="N1017" s="13">
        <f>N1018</f>
        <v>0</v>
      </c>
      <c r="O1017" s="87">
        <f t="shared" si="214"/>
        <v>33</v>
      </c>
      <c r="P1017" s="13">
        <f>P1018</f>
        <v>0</v>
      </c>
      <c r="Q1017" s="87">
        <f t="shared" si="205"/>
        <v>33</v>
      </c>
      <c r="R1017" s="13">
        <f>R1018</f>
        <v>0</v>
      </c>
      <c r="S1017" s="87">
        <f t="shared" si="203"/>
        <v>33</v>
      </c>
    </row>
    <row r="1018" spans="1:19" ht="12.75">
      <c r="A1018" s="62" t="str">
        <f ca="1">IF(ISERROR(MATCH(E1018,Код_КЦСР,0)),"",INDIRECT(ADDRESS(MATCH(E1018,Код_КЦСР,0)+1,2,,,"КЦСР")))</f>
        <v>Расходы, не включенные в муниципальные программы города Череповца</v>
      </c>
      <c r="B1018" s="115">
        <v>808</v>
      </c>
      <c r="C1018" s="8" t="s">
        <v>230</v>
      </c>
      <c r="D1018" s="8" t="s">
        <v>221</v>
      </c>
      <c r="E1018" s="115" t="s">
        <v>309</v>
      </c>
      <c r="F1018" s="115"/>
      <c r="G1018" s="70"/>
      <c r="H1018" s="70"/>
      <c r="I1018" s="70"/>
      <c r="J1018" s="70">
        <f>J1019</f>
        <v>33</v>
      </c>
      <c r="K1018" s="87">
        <f t="shared" si="210"/>
        <v>33</v>
      </c>
      <c r="L1018" s="13">
        <f>L1019</f>
        <v>0</v>
      </c>
      <c r="M1018" s="87">
        <f t="shared" si="213"/>
        <v>33</v>
      </c>
      <c r="N1018" s="13">
        <f>N1019</f>
        <v>0</v>
      </c>
      <c r="O1018" s="87">
        <f t="shared" si="214"/>
        <v>33</v>
      </c>
      <c r="P1018" s="13">
        <f>P1019</f>
        <v>0</v>
      </c>
      <c r="Q1018" s="87">
        <f t="shared" si="205"/>
        <v>33</v>
      </c>
      <c r="R1018" s="13">
        <f>R1019</f>
        <v>0</v>
      </c>
      <c r="S1018" s="87">
        <f t="shared" si="203"/>
        <v>33</v>
      </c>
    </row>
    <row r="1019" spans="1:19" ht="12.75">
      <c r="A1019" s="62" t="str">
        <f ca="1">IF(ISERROR(MATCH(E1019,Код_КЦСР,0)),"",INDIRECT(ADDRESS(MATCH(E1019,Код_КЦСР,0)+1,2,,,"КЦСР")))</f>
        <v>Кредиторская задолженность, сложившаяся по итогам 2013 года</v>
      </c>
      <c r="B1019" s="115">
        <v>808</v>
      </c>
      <c r="C1019" s="8" t="s">
        <v>230</v>
      </c>
      <c r="D1019" s="8" t="s">
        <v>221</v>
      </c>
      <c r="E1019" s="115" t="s">
        <v>379</v>
      </c>
      <c r="F1019" s="115"/>
      <c r="G1019" s="70"/>
      <c r="H1019" s="70"/>
      <c r="I1019" s="70"/>
      <c r="J1019" s="70">
        <f>J1020</f>
        <v>33</v>
      </c>
      <c r="K1019" s="87">
        <f t="shared" si="210"/>
        <v>33</v>
      </c>
      <c r="L1019" s="13">
        <f>L1020</f>
        <v>0</v>
      </c>
      <c r="M1019" s="87">
        <f t="shared" si="213"/>
        <v>33</v>
      </c>
      <c r="N1019" s="13">
        <f>N1020</f>
        <v>0</v>
      </c>
      <c r="O1019" s="87">
        <f t="shared" si="214"/>
        <v>33</v>
      </c>
      <c r="P1019" s="13">
        <f>P1020</f>
        <v>0</v>
      </c>
      <c r="Q1019" s="87">
        <f t="shared" si="205"/>
        <v>33</v>
      </c>
      <c r="R1019" s="13">
        <f>R1020</f>
        <v>0</v>
      </c>
      <c r="S1019" s="87">
        <f t="shared" si="203"/>
        <v>33</v>
      </c>
    </row>
    <row r="1020" spans="1:19" ht="33">
      <c r="A1020" s="62" t="str">
        <f ca="1">IF(ISERROR(MATCH(F1020,Код_КВР,0)),"",INDIRECT(ADDRESS(MATCH(F1020,Код_КВР,0)+1,2,,,"КВР")))</f>
        <v>Предоставление субсидий бюджетным, автономным учреждениям и иным некоммерческим организациям</v>
      </c>
      <c r="B1020" s="115">
        <v>808</v>
      </c>
      <c r="C1020" s="8" t="s">
        <v>230</v>
      </c>
      <c r="D1020" s="8" t="s">
        <v>221</v>
      </c>
      <c r="E1020" s="115" t="s">
        <v>379</v>
      </c>
      <c r="F1020" s="115">
        <v>600</v>
      </c>
      <c r="G1020" s="70"/>
      <c r="H1020" s="70"/>
      <c r="I1020" s="70"/>
      <c r="J1020" s="70">
        <f>J1021</f>
        <v>33</v>
      </c>
      <c r="K1020" s="87">
        <f t="shared" si="210"/>
        <v>33</v>
      </c>
      <c r="L1020" s="13">
        <f>L1021</f>
        <v>0</v>
      </c>
      <c r="M1020" s="87">
        <f t="shared" si="213"/>
        <v>33</v>
      </c>
      <c r="N1020" s="13">
        <f>N1021</f>
        <v>0</v>
      </c>
      <c r="O1020" s="87">
        <f t="shared" si="214"/>
        <v>33</v>
      </c>
      <c r="P1020" s="13">
        <f>P1021</f>
        <v>0</v>
      </c>
      <c r="Q1020" s="87">
        <f t="shared" si="205"/>
        <v>33</v>
      </c>
      <c r="R1020" s="13">
        <f>R1021</f>
        <v>0</v>
      </c>
      <c r="S1020" s="87">
        <f t="shared" si="203"/>
        <v>33</v>
      </c>
    </row>
    <row r="1021" spans="1:19" ht="12.75">
      <c r="A1021" s="62" t="str">
        <f ca="1">IF(ISERROR(MATCH(F1021,Код_КВР,0)),"",INDIRECT(ADDRESS(MATCH(F1021,Код_КВР,0)+1,2,,,"КВР")))</f>
        <v>Субсидии бюджетным учреждениям</v>
      </c>
      <c r="B1021" s="115">
        <v>808</v>
      </c>
      <c r="C1021" s="8" t="s">
        <v>230</v>
      </c>
      <c r="D1021" s="8" t="s">
        <v>221</v>
      </c>
      <c r="E1021" s="115" t="s">
        <v>379</v>
      </c>
      <c r="F1021" s="115">
        <v>610</v>
      </c>
      <c r="G1021" s="70"/>
      <c r="H1021" s="70"/>
      <c r="I1021" s="70"/>
      <c r="J1021" s="70">
        <f>J1022</f>
        <v>33</v>
      </c>
      <c r="K1021" s="87">
        <f t="shared" si="210"/>
        <v>33</v>
      </c>
      <c r="L1021" s="13">
        <f>L1022</f>
        <v>0</v>
      </c>
      <c r="M1021" s="87">
        <f t="shared" si="213"/>
        <v>33</v>
      </c>
      <c r="N1021" s="13">
        <f>N1022</f>
        <v>0</v>
      </c>
      <c r="O1021" s="87">
        <f t="shared" si="214"/>
        <v>33</v>
      </c>
      <c r="P1021" s="13">
        <f>P1022</f>
        <v>0</v>
      </c>
      <c r="Q1021" s="87">
        <f t="shared" si="205"/>
        <v>33</v>
      </c>
      <c r="R1021" s="13">
        <f>R1022</f>
        <v>0</v>
      </c>
      <c r="S1021" s="87">
        <f t="shared" si="203"/>
        <v>33</v>
      </c>
    </row>
    <row r="1022" spans="1:19" ht="12.75">
      <c r="A1022" s="62" t="str">
        <f ca="1">IF(ISERROR(MATCH(F1022,Код_КВР,0)),"",INDIRECT(ADDRESS(MATCH(F1022,Код_КВР,0)+1,2,,,"КВР")))</f>
        <v>Субсидии бюджетным учреждениям на иные цели</v>
      </c>
      <c r="B1022" s="115">
        <v>808</v>
      </c>
      <c r="C1022" s="8" t="s">
        <v>230</v>
      </c>
      <c r="D1022" s="8" t="s">
        <v>221</v>
      </c>
      <c r="E1022" s="115" t="s">
        <v>379</v>
      </c>
      <c r="F1022" s="115">
        <v>612</v>
      </c>
      <c r="G1022" s="70"/>
      <c r="H1022" s="70"/>
      <c r="I1022" s="70"/>
      <c r="J1022" s="70">
        <v>33</v>
      </c>
      <c r="K1022" s="87">
        <f t="shared" si="210"/>
        <v>33</v>
      </c>
      <c r="L1022" s="13"/>
      <c r="M1022" s="87">
        <f t="shared" si="213"/>
        <v>33</v>
      </c>
      <c r="N1022" s="13"/>
      <c r="O1022" s="87">
        <f t="shared" si="214"/>
        <v>33</v>
      </c>
      <c r="P1022" s="13"/>
      <c r="Q1022" s="87">
        <f t="shared" si="205"/>
        <v>33</v>
      </c>
      <c r="R1022" s="13"/>
      <c r="S1022" s="87">
        <f t="shared" si="203"/>
        <v>33</v>
      </c>
    </row>
    <row r="1023" spans="1:19" ht="12.75">
      <c r="A1023" s="12" t="s">
        <v>171</v>
      </c>
      <c r="B1023" s="115">
        <v>808</v>
      </c>
      <c r="C1023" s="8" t="s">
        <v>230</v>
      </c>
      <c r="D1023" s="8" t="s">
        <v>224</v>
      </c>
      <c r="E1023" s="115"/>
      <c r="F1023" s="115"/>
      <c r="G1023" s="70">
        <f>G1024+G1081+G1086+G1103+G1121</f>
        <v>26727</v>
      </c>
      <c r="H1023" s="70">
        <f>H1024+H1081+H1086+H1103+H1121</f>
        <v>0</v>
      </c>
      <c r="I1023" s="70">
        <f t="shared" si="215"/>
        <v>26727</v>
      </c>
      <c r="J1023" s="70">
        <f>J1024+J1081+J1086+J1103+J1121</f>
        <v>36</v>
      </c>
      <c r="K1023" s="87">
        <f t="shared" si="210"/>
        <v>26763</v>
      </c>
      <c r="L1023" s="13">
        <f>L1024+L1081+L1086+L1103+L1121</f>
        <v>-1.8</v>
      </c>
      <c r="M1023" s="87">
        <f t="shared" si="213"/>
        <v>26761.2</v>
      </c>
      <c r="N1023" s="13">
        <f>N1024+N1081+N1086+N1103+N1121</f>
        <v>0</v>
      </c>
      <c r="O1023" s="87">
        <f t="shared" si="214"/>
        <v>26761.2</v>
      </c>
      <c r="P1023" s="13">
        <f>P1024+P1081+P1086+P1103+P1121</f>
        <v>0</v>
      </c>
      <c r="Q1023" s="87">
        <f t="shared" si="205"/>
        <v>26761.2</v>
      </c>
      <c r="R1023" s="13">
        <f>R1024+R1081+R1086+R1103+R1121</f>
        <v>0</v>
      </c>
      <c r="S1023" s="87">
        <f t="shared" si="203"/>
        <v>26761.2</v>
      </c>
    </row>
    <row r="1024" spans="1:19" ht="33">
      <c r="A1024" s="62" t="str">
        <f ca="1">IF(ISERROR(MATCH(E1024,Код_КЦСР,0)),"",INDIRECT(ADDRESS(MATCH(E1024,Код_КЦСР,0)+1,2,,,"КЦСР")))</f>
        <v>Муниципальная программа «Культура, традиции и народное творчество в городе Череповце» на 2013-2018 годы</v>
      </c>
      <c r="B1024" s="115">
        <v>808</v>
      </c>
      <c r="C1024" s="8" t="s">
        <v>230</v>
      </c>
      <c r="D1024" s="8" t="s">
        <v>224</v>
      </c>
      <c r="E1024" s="115" t="s">
        <v>472</v>
      </c>
      <c r="F1024" s="115"/>
      <c r="G1024" s="70">
        <f>G1025+G1030+G1039+G1048+G1057+G1068+G1077</f>
        <v>17171.3</v>
      </c>
      <c r="H1024" s="70">
        <f>H1025+H1030+H1039+H1048+H1057+H1068+H1077</f>
        <v>0</v>
      </c>
      <c r="I1024" s="70">
        <f t="shared" si="215"/>
        <v>17171.3</v>
      </c>
      <c r="J1024" s="70">
        <f>J1025+J1030+J1039+J1048+J1057+J1068+J1077</f>
        <v>0</v>
      </c>
      <c r="K1024" s="87">
        <f t="shared" si="210"/>
        <v>17171.3</v>
      </c>
      <c r="L1024" s="13">
        <f>L1025+L1030+L1039+L1048+L1057+L1068+L1077</f>
        <v>-1.8</v>
      </c>
      <c r="M1024" s="87">
        <f t="shared" si="213"/>
        <v>17169.5</v>
      </c>
      <c r="N1024" s="13">
        <f>N1025+N1030+N1039+N1048+N1057+N1068+N1077</f>
        <v>0</v>
      </c>
      <c r="O1024" s="87">
        <f t="shared" si="214"/>
        <v>17169.5</v>
      </c>
      <c r="P1024" s="13">
        <f>P1025+P1030+P1039+P1048+P1057+P1068+P1077</f>
        <v>0</v>
      </c>
      <c r="Q1024" s="87">
        <f t="shared" si="205"/>
        <v>17169.5</v>
      </c>
      <c r="R1024" s="13">
        <f>R1025+R1030+R1039+R1048+R1057+R1068+R1077</f>
        <v>0</v>
      </c>
      <c r="S1024" s="87">
        <f t="shared" si="203"/>
        <v>17169.5</v>
      </c>
    </row>
    <row r="1025" spans="1:19" ht="33">
      <c r="A1025" s="62" t="str">
        <f ca="1">IF(ISERROR(MATCH(E1025,Код_КЦСР,0)),"",INDIRECT(ADDRESS(MATCH(E1025,Код_КЦСР,0)+1,2,,,"КЦСР")))</f>
        <v>Сохранение, эффективное использование  и популяризация объектов культурного наследия</v>
      </c>
      <c r="B1025" s="115">
        <v>808</v>
      </c>
      <c r="C1025" s="8" t="s">
        <v>230</v>
      </c>
      <c r="D1025" s="8" t="s">
        <v>224</v>
      </c>
      <c r="E1025" s="115" t="s">
        <v>474</v>
      </c>
      <c r="F1025" s="115"/>
      <c r="G1025" s="70">
        <f aca="true" t="shared" si="218" ref="G1025:R1028">G1026</f>
        <v>100</v>
      </c>
      <c r="H1025" s="70">
        <f t="shared" si="218"/>
        <v>0</v>
      </c>
      <c r="I1025" s="70">
        <f t="shared" si="215"/>
        <v>100</v>
      </c>
      <c r="J1025" s="70">
        <f t="shared" si="218"/>
        <v>0</v>
      </c>
      <c r="K1025" s="87">
        <f t="shared" si="210"/>
        <v>100</v>
      </c>
      <c r="L1025" s="13">
        <f t="shared" si="218"/>
        <v>0</v>
      </c>
      <c r="M1025" s="87">
        <f t="shared" si="213"/>
        <v>100</v>
      </c>
      <c r="N1025" s="13">
        <f t="shared" si="218"/>
        <v>0</v>
      </c>
      <c r="O1025" s="87">
        <f t="shared" si="214"/>
        <v>100</v>
      </c>
      <c r="P1025" s="13">
        <f t="shared" si="218"/>
        <v>0</v>
      </c>
      <c r="Q1025" s="87">
        <f t="shared" si="205"/>
        <v>100</v>
      </c>
      <c r="R1025" s="13">
        <f t="shared" si="218"/>
        <v>0</v>
      </c>
      <c r="S1025" s="87">
        <f t="shared" si="203"/>
        <v>100</v>
      </c>
    </row>
    <row r="1026" spans="1:19" ht="70.7" customHeight="1">
      <c r="A1026" s="62" t="str">
        <f ca="1">IF(ISERROR(MATCH(E1026,Код_КЦСР,0)),"",INDIRECT(ADDRESS(MATCH(E1026,Код_КЦСР,0)+1,2,,,"КЦСР")))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1026" s="115">
        <v>808</v>
      </c>
      <c r="C1026" s="8" t="s">
        <v>230</v>
      </c>
      <c r="D1026" s="8" t="s">
        <v>224</v>
      </c>
      <c r="E1026" s="115" t="s">
        <v>478</v>
      </c>
      <c r="F1026" s="115"/>
      <c r="G1026" s="70">
        <f t="shared" si="218"/>
        <v>100</v>
      </c>
      <c r="H1026" s="70">
        <f t="shared" si="218"/>
        <v>0</v>
      </c>
      <c r="I1026" s="70">
        <f t="shared" si="215"/>
        <v>100</v>
      </c>
      <c r="J1026" s="70">
        <f t="shared" si="218"/>
        <v>0</v>
      </c>
      <c r="K1026" s="87">
        <f t="shared" si="210"/>
        <v>100</v>
      </c>
      <c r="L1026" s="13">
        <f t="shared" si="218"/>
        <v>0</v>
      </c>
      <c r="M1026" s="87">
        <f t="shared" si="213"/>
        <v>100</v>
      </c>
      <c r="N1026" s="13">
        <f t="shared" si="218"/>
        <v>0</v>
      </c>
      <c r="O1026" s="87">
        <f t="shared" si="214"/>
        <v>100</v>
      </c>
      <c r="P1026" s="13">
        <f t="shared" si="218"/>
        <v>0</v>
      </c>
      <c r="Q1026" s="87">
        <f t="shared" si="205"/>
        <v>100</v>
      </c>
      <c r="R1026" s="13">
        <f t="shared" si="218"/>
        <v>0</v>
      </c>
      <c r="S1026" s="87">
        <f t="shared" si="203"/>
        <v>100</v>
      </c>
    </row>
    <row r="1027" spans="1:19" ht="33">
      <c r="A1027" s="62" t="str">
        <f ca="1">IF(ISERROR(MATCH(F1027,Код_КВР,0)),"",INDIRECT(ADDRESS(MATCH(F1027,Код_КВР,0)+1,2,,,"КВР")))</f>
        <v>Предоставление субсидий бюджетным, автономным учреждениям и иным некоммерческим организациям</v>
      </c>
      <c r="B1027" s="115">
        <v>808</v>
      </c>
      <c r="C1027" s="8" t="s">
        <v>230</v>
      </c>
      <c r="D1027" s="8" t="s">
        <v>224</v>
      </c>
      <c r="E1027" s="115" t="s">
        <v>478</v>
      </c>
      <c r="F1027" s="115">
        <v>600</v>
      </c>
      <c r="G1027" s="70">
        <f t="shared" si="218"/>
        <v>100</v>
      </c>
      <c r="H1027" s="70">
        <f t="shared" si="218"/>
        <v>0</v>
      </c>
      <c r="I1027" s="70">
        <f t="shared" si="215"/>
        <v>100</v>
      </c>
      <c r="J1027" s="70">
        <f t="shared" si="218"/>
        <v>0</v>
      </c>
      <c r="K1027" s="87">
        <f t="shared" si="210"/>
        <v>100</v>
      </c>
      <c r="L1027" s="13">
        <f t="shared" si="218"/>
        <v>0</v>
      </c>
      <c r="M1027" s="87">
        <f t="shared" si="213"/>
        <v>100</v>
      </c>
      <c r="N1027" s="13">
        <f t="shared" si="218"/>
        <v>0</v>
      </c>
      <c r="O1027" s="87">
        <f t="shared" si="214"/>
        <v>100</v>
      </c>
      <c r="P1027" s="13">
        <f t="shared" si="218"/>
        <v>0</v>
      </c>
      <c r="Q1027" s="87">
        <f t="shared" si="205"/>
        <v>100</v>
      </c>
      <c r="R1027" s="13">
        <f t="shared" si="218"/>
        <v>0</v>
      </c>
      <c r="S1027" s="87">
        <f t="shared" si="203"/>
        <v>100</v>
      </c>
    </row>
    <row r="1028" spans="1:19" ht="12.75">
      <c r="A1028" s="62" t="str">
        <f ca="1">IF(ISERROR(MATCH(F1028,Код_КВР,0)),"",INDIRECT(ADDRESS(MATCH(F1028,Код_КВР,0)+1,2,,,"КВР")))</f>
        <v>Субсидии бюджетным учреждениям</v>
      </c>
      <c r="B1028" s="115">
        <v>808</v>
      </c>
      <c r="C1028" s="8" t="s">
        <v>230</v>
      </c>
      <c r="D1028" s="8" t="s">
        <v>224</v>
      </c>
      <c r="E1028" s="115" t="s">
        <v>478</v>
      </c>
      <c r="F1028" s="115">
        <v>610</v>
      </c>
      <c r="G1028" s="70">
        <f t="shared" si="218"/>
        <v>100</v>
      </c>
      <c r="H1028" s="70">
        <f t="shared" si="218"/>
        <v>0</v>
      </c>
      <c r="I1028" s="70">
        <f t="shared" si="215"/>
        <v>100</v>
      </c>
      <c r="J1028" s="70">
        <f t="shared" si="218"/>
        <v>0</v>
      </c>
      <c r="K1028" s="87">
        <f t="shared" si="210"/>
        <v>100</v>
      </c>
      <c r="L1028" s="13">
        <f t="shared" si="218"/>
        <v>0</v>
      </c>
      <c r="M1028" s="87">
        <f t="shared" si="213"/>
        <v>100</v>
      </c>
      <c r="N1028" s="13">
        <f t="shared" si="218"/>
        <v>0</v>
      </c>
      <c r="O1028" s="87">
        <f t="shared" si="214"/>
        <v>100</v>
      </c>
      <c r="P1028" s="13">
        <f t="shared" si="218"/>
        <v>0</v>
      </c>
      <c r="Q1028" s="87">
        <f t="shared" si="205"/>
        <v>100</v>
      </c>
      <c r="R1028" s="13">
        <f t="shared" si="218"/>
        <v>0</v>
      </c>
      <c r="S1028" s="87">
        <f t="shared" si="203"/>
        <v>100</v>
      </c>
    </row>
    <row r="1029" spans="1:19" ht="12.75">
      <c r="A1029" s="62" t="str">
        <f ca="1">IF(ISERROR(MATCH(F1029,Код_КВР,0)),"",INDIRECT(ADDRESS(MATCH(F1029,Код_КВР,0)+1,2,,,"КВР")))</f>
        <v>Субсидии бюджетным учреждениям на иные цели</v>
      </c>
      <c r="B1029" s="115">
        <v>808</v>
      </c>
      <c r="C1029" s="8" t="s">
        <v>230</v>
      </c>
      <c r="D1029" s="8" t="s">
        <v>224</v>
      </c>
      <c r="E1029" s="115" t="s">
        <v>478</v>
      </c>
      <c r="F1029" s="115">
        <v>612</v>
      </c>
      <c r="G1029" s="70">
        <v>100</v>
      </c>
      <c r="H1029" s="70"/>
      <c r="I1029" s="70">
        <f t="shared" si="215"/>
        <v>100</v>
      </c>
      <c r="J1029" s="70"/>
      <c r="K1029" s="87">
        <f t="shared" si="210"/>
        <v>100</v>
      </c>
      <c r="L1029" s="13"/>
      <c r="M1029" s="87">
        <f t="shared" si="213"/>
        <v>100</v>
      </c>
      <c r="N1029" s="13"/>
      <c r="O1029" s="87">
        <f t="shared" si="214"/>
        <v>100</v>
      </c>
      <c r="P1029" s="13"/>
      <c r="Q1029" s="87">
        <f t="shared" si="205"/>
        <v>100</v>
      </c>
      <c r="R1029" s="13"/>
      <c r="S1029" s="87">
        <f t="shared" si="203"/>
        <v>100</v>
      </c>
    </row>
    <row r="1030" spans="1:19" ht="12.75">
      <c r="A1030" s="62" t="str">
        <f ca="1">IF(ISERROR(MATCH(E1030,Код_КЦСР,0)),"",INDIRECT(ADDRESS(MATCH(E1030,Код_КЦСР,0)+1,2,,,"КЦСР")))</f>
        <v>Развитие музейного дела</v>
      </c>
      <c r="B1030" s="115">
        <v>808</v>
      </c>
      <c r="C1030" s="8" t="s">
        <v>230</v>
      </c>
      <c r="D1030" s="8" t="s">
        <v>224</v>
      </c>
      <c r="E1030" s="115" t="s">
        <v>479</v>
      </c>
      <c r="F1030" s="115"/>
      <c r="G1030" s="70">
        <f>G1031+G1035</f>
        <v>682</v>
      </c>
      <c r="H1030" s="70">
        <f>H1031+H1035</f>
        <v>0</v>
      </c>
      <c r="I1030" s="70">
        <f t="shared" si="215"/>
        <v>682</v>
      </c>
      <c r="J1030" s="70">
        <f>J1031+J1035</f>
        <v>0</v>
      </c>
      <c r="K1030" s="87">
        <f t="shared" si="210"/>
        <v>682</v>
      </c>
      <c r="L1030" s="13">
        <f>L1031+L1035</f>
        <v>0</v>
      </c>
      <c r="M1030" s="87">
        <f t="shared" si="213"/>
        <v>682</v>
      </c>
      <c r="N1030" s="13">
        <f>N1031+N1035</f>
        <v>0</v>
      </c>
      <c r="O1030" s="87">
        <f t="shared" si="214"/>
        <v>682</v>
      </c>
      <c r="P1030" s="13">
        <f>P1031+P1035</f>
        <v>0</v>
      </c>
      <c r="Q1030" s="87">
        <f t="shared" si="205"/>
        <v>682</v>
      </c>
      <c r="R1030" s="13">
        <f>R1031+R1035</f>
        <v>0</v>
      </c>
      <c r="S1030" s="87">
        <f t="shared" si="203"/>
        <v>682</v>
      </c>
    </row>
    <row r="1031" spans="1:19" ht="66">
      <c r="A1031" s="62" t="str">
        <f ca="1">IF(ISERROR(MATCH(E1031,Код_КЦСР,0)),"",INDIRECT(ADDRESS(MATCH(E1031,Код_КЦСР,0)+1,2,,,"КЦСР")))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1031" s="115">
        <v>808</v>
      </c>
      <c r="C1031" s="8" t="s">
        <v>230</v>
      </c>
      <c r="D1031" s="8" t="s">
        <v>224</v>
      </c>
      <c r="E1031" s="115" t="s">
        <v>480</v>
      </c>
      <c r="F1031" s="115"/>
      <c r="G1031" s="70">
        <f aca="true" t="shared" si="219" ref="G1031:R1033">G1032</f>
        <v>270</v>
      </c>
      <c r="H1031" s="70">
        <f t="shared" si="219"/>
        <v>0</v>
      </c>
      <c r="I1031" s="70">
        <f t="shared" si="215"/>
        <v>270</v>
      </c>
      <c r="J1031" s="70">
        <f t="shared" si="219"/>
        <v>0</v>
      </c>
      <c r="K1031" s="87">
        <f t="shared" si="210"/>
        <v>270</v>
      </c>
      <c r="L1031" s="13">
        <f t="shared" si="219"/>
        <v>0</v>
      </c>
      <c r="M1031" s="87">
        <f t="shared" si="213"/>
        <v>270</v>
      </c>
      <c r="N1031" s="13">
        <f t="shared" si="219"/>
        <v>0</v>
      </c>
      <c r="O1031" s="87">
        <f t="shared" si="214"/>
        <v>270</v>
      </c>
      <c r="P1031" s="13">
        <f t="shared" si="219"/>
        <v>0</v>
      </c>
      <c r="Q1031" s="87">
        <f t="shared" si="205"/>
        <v>270</v>
      </c>
      <c r="R1031" s="13">
        <f t="shared" si="219"/>
        <v>0</v>
      </c>
      <c r="S1031" s="87">
        <f t="shared" si="203"/>
        <v>270</v>
      </c>
    </row>
    <row r="1032" spans="1:19" ht="33">
      <c r="A1032" s="62" t="str">
        <f ca="1">IF(ISERROR(MATCH(F1032,Код_КВР,0)),"",INDIRECT(ADDRESS(MATCH(F1032,Код_КВР,0)+1,2,,,"КВР")))</f>
        <v>Предоставление субсидий бюджетным, автономным учреждениям и иным некоммерческим организациям</v>
      </c>
      <c r="B1032" s="115">
        <v>808</v>
      </c>
      <c r="C1032" s="8" t="s">
        <v>230</v>
      </c>
      <c r="D1032" s="8" t="s">
        <v>224</v>
      </c>
      <c r="E1032" s="115" t="s">
        <v>480</v>
      </c>
      <c r="F1032" s="115">
        <v>600</v>
      </c>
      <c r="G1032" s="70">
        <f t="shared" si="219"/>
        <v>270</v>
      </c>
      <c r="H1032" s="70">
        <f t="shared" si="219"/>
        <v>0</v>
      </c>
      <c r="I1032" s="70">
        <f t="shared" si="215"/>
        <v>270</v>
      </c>
      <c r="J1032" s="70">
        <f t="shared" si="219"/>
        <v>0</v>
      </c>
      <c r="K1032" s="87">
        <f t="shared" si="210"/>
        <v>270</v>
      </c>
      <c r="L1032" s="13">
        <f t="shared" si="219"/>
        <v>0</v>
      </c>
      <c r="M1032" s="87">
        <f t="shared" si="213"/>
        <v>270</v>
      </c>
      <c r="N1032" s="13">
        <f t="shared" si="219"/>
        <v>0</v>
      </c>
      <c r="O1032" s="87">
        <f t="shared" si="214"/>
        <v>270</v>
      </c>
      <c r="P1032" s="13">
        <f t="shared" si="219"/>
        <v>0</v>
      </c>
      <c r="Q1032" s="87">
        <f t="shared" si="205"/>
        <v>270</v>
      </c>
      <c r="R1032" s="13">
        <f t="shared" si="219"/>
        <v>0</v>
      </c>
      <c r="S1032" s="87">
        <f aca="true" t="shared" si="220" ref="S1032:S1095">Q1032+R1032</f>
        <v>270</v>
      </c>
    </row>
    <row r="1033" spans="1:19" ht="12.75">
      <c r="A1033" s="62" t="str">
        <f ca="1">IF(ISERROR(MATCH(F1033,Код_КВР,0)),"",INDIRECT(ADDRESS(MATCH(F1033,Код_КВР,0)+1,2,,,"КВР")))</f>
        <v>Субсидии бюджетным учреждениям</v>
      </c>
      <c r="B1033" s="115">
        <v>808</v>
      </c>
      <c r="C1033" s="8" t="s">
        <v>230</v>
      </c>
      <c r="D1033" s="8" t="s">
        <v>224</v>
      </c>
      <c r="E1033" s="115" t="s">
        <v>480</v>
      </c>
      <c r="F1033" s="115">
        <v>610</v>
      </c>
      <c r="G1033" s="70">
        <f t="shared" si="219"/>
        <v>270</v>
      </c>
      <c r="H1033" s="70">
        <f t="shared" si="219"/>
        <v>0</v>
      </c>
      <c r="I1033" s="70">
        <f t="shared" si="215"/>
        <v>270</v>
      </c>
      <c r="J1033" s="70">
        <f t="shared" si="219"/>
        <v>0</v>
      </c>
      <c r="K1033" s="87">
        <f t="shared" si="210"/>
        <v>270</v>
      </c>
      <c r="L1033" s="13">
        <f t="shared" si="219"/>
        <v>0</v>
      </c>
      <c r="M1033" s="87">
        <f t="shared" si="213"/>
        <v>270</v>
      </c>
      <c r="N1033" s="13">
        <f t="shared" si="219"/>
        <v>0</v>
      </c>
      <c r="O1033" s="87">
        <f t="shared" si="214"/>
        <v>270</v>
      </c>
      <c r="P1033" s="13">
        <f t="shared" si="219"/>
        <v>0</v>
      </c>
      <c r="Q1033" s="87">
        <f t="shared" si="205"/>
        <v>270</v>
      </c>
      <c r="R1033" s="13">
        <f t="shared" si="219"/>
        <v>0</v>
      </c>
      <c r="S1033" s="87">
        <f t="shared" si="220"/>
        <v>270</v>
      </c>
    </row>
    <row r="1034" spans="1:19" ht="12.75">
      <c r="A1034" s="62" t="str">
        <f ca="1">IF(ISERROR(MATCH(F1034,Код_КВР,0)),"",INDIRECT(ADDRESS(MATCH(F1034,Код_КВР,0)+1,2,,,"КВР")))</f>
        <v>Субсидии бюджетным учреждениям на иные цели</v>
      </c>
      <c r="B1034" s="115">
        <v>808</v>
      </c>
      <c r="C1034" s="8" t="s">
        <v>230</v>
      </c>
      <c r="D1034" s="8" t="s">
        <v>224</v>
      </c>
      <c r="E1034" s="115" t="s">
        <v>480</v>
      </c>
      <c r="F1034" s="115">
        <v>612</v>
      </c>
      <c r="G1034" s="70">
        <v>270</v>
      </c>
      <c r="H1034" s="70"/>
      <c r="I1034" s="70">
        <f t="shared" si="215"/>
        <v>270</v>
      </c>
      <c r="J1034" s="70"/>
      <c r="K1034" s="87">
        <f t="shared" si="210"/>
        <v>270</v>
      </c>
      <c r="L1034" s="13"/>
      <c r="M1034" s="87">
        <f t="shared" si="213"/>
        <v>270</v>
      </c>
      <c r="N1034" s="13"/>
      <c r="O1034" s="87">
        <f t="shared" si="214"/>
        <v>270</v>
      </c>
      <c r="P1034" s="13"/>
      <c r="Q1034" s="87">
        <f t="shared" si="205"/>
        <v>270</v>
      </c>
      <c r="R1034" s="13"/>
      <c r="S1034" s="87">
        <f t="shared" si="220"/>
        <v>270</v>
      </c>
    </row>
    <row r="1035" spans="1:19" ht="49.5">
      <c r="A1035" s="62" t="str">
        <f ca="1">IF(ISERROR(MATCH(E1035,Код_КЦСР,0)),"",INDIRECT(ADDRESS(MATCH(E1035,Код_КЦСР,0)+1,2,,,"КЦСР")))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1035" s="115">
        <v>808</v>
      </c>
      <c r="C1035" s="8" t="s">
        <v>230</v>
      </c>
      <c r="D1035" s="8" t="s">
        <v>224</v>
      </c>
      <c r="E1035" s="115" t="s">
        <v>482</v>
      </c>
      <c r="F1035" s="115"/>
      <c r="G1035" s="70">
        <f aca="true" t="shared" si="221" ref="G1035:R1037">G1036</f>
        <v>412</v>
      </c>
      <c r="H1035" s="70">
        <f t="shared" si="221"/>
        <v>0</v>
      </c>
      <c r="I1035" s="70">
        <f t="shared" si="215"/>
        <v>412</v>
      </c>
      <c r="J1035" s="70">
        <f t="shared" si="221"/>
        <v>0</v>
      </c>
      <c r="K1035" s="87">
        <f t="shared" si="210"/>
        <v>412</v>
      </c>
      <c r="L1035" s="13">
        <f t="shared" si="221"/>
        <v>0</v>
      </c>
      <c r="M1035" s="87">
        <f t="shared" si="213"/>
        <v>412</v>
      </c>
      <c r="N1035" s="13">
        <f t="shared" si="221"/>
        <v>0</v>
      </c>
      <c r="O1035" s="87">
        <f t="shared" si="214"/>
        <v>412</v>
      </c>
      <c r="P1035" s="13">
        <f t="shared" si="221"/>
        <v>0</v>
      </c>
      <c r="Q1035" s="87">
        <f t="shared" si="205"/>
        <v>412</v>
      </c>
      <c r="R1035" s="13">
        <f t="shared" si="221"/>
        <v>0</v>
      </c>
      <c r="S1035" s="87">
        <f t="shared" si="220"/>
        <v>412</v>
      </c>
    </row>
    <row r="1036" spans="1:19" ht="33">
      <c r="A1036" s="62" t="str">
        <f ca="1">IF(ISERROR(MATCH(F1036,Код_КВР,0)),"",INDIRECT(ADDRESS(MATCH(F1036,Код_КВР,0)+1,2,,,"КВР")))</f>
        <v>Предоставление субсидий бюджетным, автономным учреждениям и иным некоммерческим организациям</v>
      </c>
      <c r="B1036" s="115">
        <v>808</v>
      </c>
      <c r="C1036" s="8" t="s">
        <v>230</v>
      </c>
      <c r="D1036" s="8" t="s">
        <v>224</v>
      </c>
      <c r="E1036" s="115" t="s">
        <v>482</v>
      </c>
      <c r="F1036" s="115">
        <v>600</v>
      </c>
      <c r="G1036" s="70">
        <f t="shared" si="221"/>
        <v>412</v>
      </c>
      <c r="H1036" s="70">
        <f t="shared" si="221"/>
        <v>0</v>
      </c>
      <c r="I1036" s="70">
        <f t="shared" si="215"/>
        <v>412</v>
      </c>
      <c r="J1036" s="70">
        <f t="shared" si="221"/>
        <v>0</v>
      </c>
      <c r="K1036" s="87">
        <f t="shared" si="210"/>
        <v>412</v>
      </c>
      <c r="L1036" s="13">
        <f t="shared" si="221"/>
        <v>0</v>
      </c>
      <c r="M1036" s="87">
        <f t="shared" si="213"/>
        <v>412</v>
      </c>
      <c r="N1036" s="13">
        <f t="shared" si="221"/>
        <v>0</v>
      </c>
      <c r="O1036" s="87">
        <f t="shared" si="214"/>
        <v>412</v>
      </c>
      <c r="P1036" s="13">
        <f t="shared" si="221"/>
        <v>0</v>
      </c>
      <c r="Q1036" s="87">
        <f t="shared" si="205"/>
        <v>412</v>
      </c>
      <c r="R1036" s="13">
        <f t="shared" si="221"/>
        <v>0</v>
      </c>
      <c r="S1036" s="87">
        <f t="shared" si="220"/>
        <v>412</v>
      </c>
    </row>
    <row r="1037" spans="1:19" ht="12.75">
      <c r="A1037" s="62" t="str">
        <f ca="1">IF(ISERROR(MATCH(F1037,Код_КВР,0)),"",INDIRECT(ADDRESS(MATCH(F1037,Код_КВР,0)+1,2,,,"КВР")))</f>
        <v>Субсидии бюджетным учреждениям</v>
      </c>
      <c r="B1037" s="115">
        <v>808</v>
      </c>
      <c r="C1037" s="8" t="s">
        <v>230</v>
      </c>
      <c r="D1037" s="8" t="s">
        <v>224</v>
      </c>
      <c r="E1037" s="115" t="s">
        <v>482</v>
      </c>
      <c r="F1037" s="115">
        <v>610</v>
      </c>
      <c r="G1037" s="70">
        <f t="shared" si="221"/>
        <v>412</v>
      </c>
      <c r="H1037" s="70">
        <f t="shared" si="221"/>
        <v>0</v>
      </c>
      <c r="I1037" s="70">
        <f t="shared" si="215"/>
        <v>412</v>
      </c>
      <c r="J1037" s="70">
        <f t="shared" si="221"/>
        <v>0</v>
      </c>
      <c r="K1037" s="87">
        <f t="shared" si="210"/>
        <v>412</v>
      </c>
      <c r="L1037" s="13">
        <f t="shared" si="221"/>
        <v>0</v>
      </c>
      <c r="M1037" s="87">
        <f t="shared" si="213"/>
        <v>412</v>
      </c>
      <c r="N1037" s="13">
        <f t="shared" si="221"/>
        <v>0</v>
      </c>
      <c r="O1037" s="87">
        <f t="shared" si="214"/>
        <v>412</v>
      </c>
      <c r="P1037" s="13">
        <f t="shared" si="221"/>
        <v>0</v>
      </c>
      <c r="Q1037" s="87">
        <f t="shared" si="205"/>
        <v>412</v>
      </c>
      <c r="R1037" s="13">
        <f t="shared" si="221"/>
        <v>0</v>
      </c>
      <c r="S1037" s="87">
        <f t="shared" si="220"/>
        <v>412</v>
      </c>
    </row>
    <row r="1038" spans="1:19" ht="12.75">
      <c r="A1038" s="62" t="str">
        <f ca="1">IF(ISERROR(MATCH(F1038,Код_КВР,0)),"",INDIRECT(ADDRESS(MATCH(F1038,Код_КВР,0)+1,2,,,"КВР")))</f>
        <v>Субсидии бюджетным учреждениям на иные цели</v>
      </c>
      <c r="B1038" s="115">
        <v>808</v>
      </c>
      <c r="C1038" s="8" t="s">
        <v>230</v>
      </c>
      <c r="D1038" s="8" t="s">
        <v>224</v>
      </c>
      <c r="E1038" s="115" t="s">
        <v>482</v>
      </c>
      <c r="F1038" s="115">
        <v>612</v>
      </c>
      <c r="G1038" s="70">
        <v>412</v>
      </c>
      <c r="H1038" s="70"/>
      <c r="I1038" s="70">
        <f t="shared" si="215"/>
        <v>412</v>
      </c>
      <c r="J1038" s="70"/>
      <c r="K1038" s="87">
        <f t="shared" si="210"/>
        <v>412</v>
      </c>
      <c r="L1038" s="13"/>
      <c r="M1038" s="87">
        <f t="shared" si="213"/>
        <v>412</v>
      </c>
      <c r="N1038" s="13"/>
      <c r="O1038" s="87">
        <f t="shared" si="214"/>
        <v>412</v>
      </c>
      <c r="P1038" s="13"/>
      <c r="Q1038" s="87">
        <f aca="true" t="shared" si="222" ref="Q1038:Q1101">O1038+P1038</f>
        <v>412</v>
      </c>
      <c r="R1038" s="13"/>
      <c r="S1038" s="87">
        <f t="shared" si="220"/>
        <v>412</v>
      </c>
    </row>
    <row r="1039" spans="1:19" ht="12.75">
      <c r="A1039" s="62" t="str">
        <f ca="1">IF(ISERROR(MATCH(E1039,Код_КЦСР,0)),"",INDIRECT(ADDRESS(MATCH(E1039,Код_КЦСР,0)+1,2,,,"КЦСР")))</f>
        <v>Развитие библиотечного дела</v>
      </c>
      <c r="B1039" s="115">
        <v>808</v>
      </c>
      <c r="C1039" s="8" t="s">
        <v>230</v>
      </c>
      <c r="D1039" s="8" t="s">
        <v>224</v>
      </c>
      <c r="E1039" s="115" t="s">
        <v>490</v>
      </c>
      <c r="F1039" s="115"/>
      <c r="G1039" s="70">
        <f>G1040+G1044</f>
        <v>3443</v>
      </c>
      <c r="H1039" s="70">
        <f>H1040+H1044</f>
        <v>0</v>
      </c>
      <c r="I1039" s="70">
        <f t="shared" si="215"/>
        <v>3443</v>
      </c>
      <c r="J1039" s="70">
        <f>J1040+J1044</f>
        <v>0</v>
      </c>
      <c r="K1039" s="87">
        <f t="shared" si="210"/>
        <v>3443</v>
      </c>
      <c r="L1039" s="13">
        <f>L1040+L1044</f>
        <v>0</v>
      </c>
      <c r="M1039" s="87">
        <f t="shared" si="213"/>
        <v>3443</v>
      </c>
      <c r="N1039" s="13">
        <f>N1040+N1044</f>
        <v>0</v>
      </c>
      <c r="O1039" s="87">
        <f t="shared" si="214"/>
        <v>3443</v>
      </c>
      <c r="P1039" s="13">
        <f>P1040+P1044</f>
        <v>0</v>
      </c>
      <c r="Q1039" s="87">
        <f t="shared" si="222"/>
        <v>3443</v>
      </c>
      <c r="R1039" s="13">
        <f>R1040+R1044</f>
        <v>0</v>
      </c>
      <c r="S1039" s="87">
        <f t="shared" si="220"/>
        <v>3443</v>
      </c>
    </row>
    <row r="1040" spans="1:19" ht="33">
      <c r="A1040" s="62" t="str">
        <f ca="1">IF(ISERROR(MATCH(E1040,Код_КЦСР,0)),"",INDIRECT(ADDRESS(MATCH(E1040,Код_КЦСР,0)+1,2,,,"КЦСР")))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1040" s="115">
        <v>808</v>
      </c>
      <c r="C1040" s="8" t="s">
        <v>230</v>
      </c>
      <c r="D1040" s="8" t="s">
        <v>224</v>
      </c>
      <c r="E1040" s="115" t="s">
        <v>491</v>
      </c>
      <c r="F1040" s="115"/>
      <c r="G1040" s="70">
        <f aca="true" t="shared" si="223" ref="G1040:R1042">G1041</f>
        <v>1300</v>
      </c>
      <c r="H1040" s="70">
        <f t="shared" si="223"/>
        <v>0</v>
      </c>
      <c r="I1040" s="70">
        <f t="shared" si="215"/>
        <v>1300</v>
      </c>
      <c r="J1040" s="70">
        <f t="shared" si="223"/>
        <v>0</v>
      </c>
      <c r="K1040" s="87">
        <f t="shared" si="210"/>
        <v>1300</v>
      </c>
      <c r="L1040" s="13">
        <f t="shared" si="223"/>
        <v>0</v>
      </c>
      <c r="M1040" s="87">
        <f t="shared" si="213"/>
        <v>1300</v>
      </c>
      <c r="N1040" s="13">
        <f t="shared" si="223"/>
        <v>0</v>
      </c>
      <c r="O1040" s="87">
        <f t="shared" si="214"/>
        <v>1300</v>
      </c>
      <c r="P1040" s="13">
        <f t="shared" si="223"/>
        <v>0</v>
      </c>
      <c r="Q1040" s="87">
        <f t="shared" si="222"/>
        <v>1300</v>
      </c>
      <c r="R1040" s="13">
        <f t="shared" si="223"/>
        <v>0</v>
      </c>
      <c r="S1040" s="87">
        <f t="shared" si="220"/>
        <v>1300</v>
      </c>
    </row>
    <row r="1041" spans="1:19" ht="33">
      <c r="A1041" s="62" t="str">
        <f ca="1">IF(ISERROR(MATCH(F1041,Код_КВР,0)),"",INDIRECT(ADDRESS(MATCH(F1041,Код_КВР,0)+1,2,,,"КВР")))</f>
        <v>Предоставление субсидий бюджетным, автономным учреждениям и иным некоммерческим организациям</v>
      </c>
      <c r="B1041" s="115">
        <v>808</v>
      </c>
      <c r="C1041" s="8" t="s">
        <v>230</v>
      </c>
      <c r="D1041" s="8" t="s">
        <v>224</v>
      </c>
      <c r="E1041" s="115" t="s">
        <v>491</v>
      </c>
      <c r="F1041" s="115">
        <v>600</v>
      </c>
      <c r="G1041" s="70">
        <f t="shared" si="223"/>
        <v>1300</v>
      </c>
      <c r="H1041" s="70">
        <f t="shared" si="223"/>
        <v>0</v>
      </c>
      <c r="I1041" s="70">
        <f t="shared" si="215"/>
        <v>1300</v>
      </c>
      <c r="J1041" s="70">
        <f t="shared" si="223"/>
        <v>0</v>
      </c>
      <c r="K1041" s="87">
        <f t="shared" si="210"/>
        <v>1300</v>
      </c>
      <c r="L1041" s="13">
        <f t="shared" si="223"/>
        <v>0</v>
      </c>
      <c r="M1041" s="87">
        <f t="shared" si="213"/>
        <v>1300</v>
      </c>
      <c r="N1041" s="13">
        <f t="shared" si="223"/>
        <v>0</v>
      </c>
      <c r="O1041" s="87">
        <f t="shared" si="214"/>
        <v>1300</v>
      </c>
      <c r="P1041" s="13">
        <f t="shared" si="223"/>
        <v>0</v>
      </c>
      <c r="Q1041" s="87">
        <f t="shared" si="222"/>
        <v>1300</v>
      </c>
      <c r="R1041" s="13">
        <f t="shared" si="223"/>
        <v>0</v>
      </c>
      <c r="S1041" s="87">
        <f t="shared" si="220"/>
        <v>1300</v>
      </c>
    </row>
    <row r="1042" spans="1:19" ht="12.75">
      <c r="A1042" s="62" t="str">
        <f ca="1">IF(ISERROR(MATCH(F1042,Код_КВР,0)),"",INDIRECT(ADDRESS(MATCH(F1042,Код_КВР,0)+1,2,,,"КВР")))</f>
        <v>Субсидии бюджетным учреждениям</v>
      </c>
      <c r="B1042" s="115">
        <v>808</v>
      </c>
      <c r="C1042" s="8" t="s">
        <v>230</v>
      </c>
      <c r="D1042" s="8" t="s">
        <v>224</v>
      </c>
      <c r="E1042" s="115" t="s">
        <v>491</v>
      </c>
      <c r="F1042" s="115">
        <v>610</v>
      </c>
      <c r="G1042" s="70">
        <f t="shared" si="223"/>
        <v>1300</v>
      </c>
      <c r="H1042" s="70">
        <f t="shared" si="223"/>
        <v>0</v>
      </c>
      <c r="I1042" s="70">
        <f t="shared" si="215"/>
        <v>1300</v>
      </c>
      <c r="J1042" s="70">
        <f t="shared" si="223"/>
        <v>0</v>
      </c>
      <c r="K1042" s="87">
        <f t="shared" si="210"/>
        <v>1300</v>
      </c>
      <c r="L1042" s="13">
        <f t="shared" si="223"/>
        <v>0</v>
      </c>
      <c r="M1042" s="87">
        <f t="shared" si="213"/>
        <v>1300</v>
      </c>
      <c r="N1042" s="13">
        <f t="shared" si="223"/>
        <v>0</v>
      </c>
      <c r="O1042" s="87">
        <f t="shared" si="214"/>
        <v>1300</v>
      </c>
      <c r="P1042" s="13">
        <f t="shared" si="223"/>
        <v>0</v>
      </c>
      <c r="Q1042" s="87">
        <f t="shared" si="222"/>
        <v>1300</v>
      </c>
      <c r="R1042" s="13">
        <f t="shared" si="223"/>
        <v>0</v>
      </c>
      <c r="S1042" s="87">
        <f t="shared" si="220"/>
        <v>1300</v>
      </c>
    </row>
    <row r="1043" spans="1:19" ht="12.75">
      <c r="A1043" s="62" t="str">
        <f ca="1">IF(ISERROR(MATCH(F1043,Код_КВР,0)),"",INDIRECT(ADDRESS(MATCH(F1043,Код_КВР,0)+1,2,,,"КВР")))</f>
        <v>Субсидии бюджетным учреждениям на иные цели</v>
      </c>
      <c r="B1043" s="115">
        <v>808</v>
      </c>
      <c r="C1043" s="8" t="s">
        <v>230</v>
      </c>
      <c r="D1043" s="8" t="s">
        <v>224</v>
      </c>
      <c r="E1043" s="115" t="s">
        <v>491</v>
      </c>
      <c r="F1043" s="115">
        <v>612</v>
      </c>
      <c r="G1043" s="70">
        <v>1300</v>
      </c>
      <c r="H1043" s="70"/>
      <c r="I1043" s="70">
        <f t="shared" si="215"/>
        <v>1300</v>
      </c>
      <c r="J1043" s="70"/>
      <c r="K1043" s="87">
        <f t="shared" si="210"/>
        <v>1300</v>
      </c>
      <c r="L1043" s="13"/>
      <c r="M1043" s="87">
        <f t="shared" si="213"/>
        <v>1300</v>
      </c>
      <c r="N1043" s="13"/>
      <c r="O1043" s="87">
        <f t="shared" si="214"/>
        <v>1300</v>
      </c>
      <c r="P1043" s="13"/>
      <c r="Q1043" s="87">
        <f t="shared" si="222"/>
        <v>1300</v>
      </c>
      <c r="R1043" s="13"/>
      <c r="S1043" s="87">
        <f t="shared" si="220"/>
        <v>1300</v>
      </c>
    </row>
    <row r="1044" spans="1:19" ht="67.5" customHeight="1">
      <c r="A1044" s="62" t="str">
        <f ca="1">IF(ISERROR(MATCH(E1044,Код_КЦСР,0)),"",INDIRECT(ADDRESS(MATCH(E1044,Код_КЦСР,0)+1,2,,,"КЦСР")))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1044" s="115">
        <v>808</v>
      </c>
      <c r="C1044" s="8" t="s">
        <v>230</v>
      </c>
      <c r="D1044" s="8" t="s">
        <v>224</v>
      </c>
      <c r="E1044" s="115" t="s">
        <v>492</v>
      </c>
      <c r="F1044" s="115"/>
      <c r="G1044" s="70">
        <f aca="true" t="shared" si="224" ref="G1044:R1046">G1045</f>
        <v>2143</v>
      </c>
      <c r="H1044" s="70">
        <f t="shared" si="224"/>
        <v>0</v>
      </c>
      <c r="I1044" s="70">
        <f t="shared" si="215"/>
        <v>2143</v>
      </c>
      <c r="J1044" s="70">
        <f t="shared" si="224"/>
        <v>0</v>
      </c>
      <c r="K1044" s="87">
        <f t="shared" si="210"/>
        <v>2143</v>
      </c>
      <c r="L1044" s="13">
        <f t="shared" si="224"/>
        <v>0</v>
      </c>
      <c r="M1044" s="87">
        <f t="shared" si="213"/>
        <v>2143</v>
      </c>
      <c r="N1044" s="13">
        <f t="shared" si="224"/>
        <v>0</v>
      </c>
      <c r="O1044" s="87">
        <f t="shared" si="214"/>
        <v>2143</v>
      </c>
      <c r="P1044" s="13">
        <f t="shared" si="224"/>
        <v>0</v>
      </c>
      <c r="Q1044" s="87">
        <f t="shared" si="222"/>
        <v>2143</v>
      </c>
      <c r="R1044" s="13">
        <f t="shared" si="224"/>
        <v>0</v>
      </c>
      <c r="S1044" s="87">
        <f t="shared" si="220"/>
        <v>2143</v>
      </c>
    </row>
    <row r="1045" spans="1:19" ht="33">
      <c r="A1045" s="62" t="str">
        <f ca="1">IF(ISERROR(MATCH(F1045,Код_КВР,0)),"",INDIRECT(ADDRESS(MATCH(F1045,Код_КВР,0)+1,2,,,"КВР")))</f>
        <v>Предоставление субсидий бюджетным, автономным учреждениям и иным некоммерческим организациям</v>
      </c>
      <c r="B1045" s="115">
        <v>808</v>
      </c>
      <c r="C1045" s="8" t="s">
        <v>230</v>
      </c>
      <c r="D1045" s="8" t="s">
        <v>224</v>
      </c>
      <c r="E1045" s="115" t="s">
        <v>492</v>
      </c>
      <c r="F1045" s="115">
        <v>600</v>
      </c>
      <c r="G1045" s="70">
        <f t="shared" si="224"/>
        <v>2143</v>
      </c>
      <c r="H1045" s="70">
        <f t="shared" si="224"/>
        <v>0</v>
      </c>
      <c r="I1045" s="70">
        <f t="shared" si="215"/>
        <v>2143</v>
      </c>
      <c r="J1045" s="70">
        <f t="shared" si="224"/>
        <v>0</v>
      </c>
      <c r="K1045" s="87">
        <f t="shared" si="210"/>
        <v>2143</v>
      </c>
      <c r="L1045" s="13">
        <f t="shared" si="224"/>
        <v>0</v>
      </c>
      <c r="M1045" s="87">
        <f t="shared" si="213"/>
        <v>2143</v>
      </c>
      <c r="N1045" s="13">
        <f t="shared" si="224"/>
        <v>0</v>
      </c>
      <c r="O1045" s="87">
        <f t="shared" si="214"/>
        <v>2143</v>
      </c>
      <c r="P1045" s="13">
        <f t="shared" si="224"/>
        <v>0</v>
      </c>
      <c r="Q1045" s="87">
        <f t="shared" si="222"/>
        <v>2143</v>
      </c>
      <c r="R1045" s="13">
        <f t="shared" si="224"/>
        <v>0</v>
      </c>
      <c r="S1045" s="87">
        <f t="shared" si="220"/>
        <v>2143</v>
      </c>
    </row>
    <row r="1046" spans="1:19" ht="12.75">
      <c r="A1046" s="62" t="str">
        <f ca="1">IF(ISERROR(MATCH(F1046,Код_КВР,0)),"",INDIRECT(ADDRESS(MATCH(F1046,Код_КВР,0)+1,2,,,"КВР")))</f>
        <v>Субсидии бюджетным учреждениям</v>
      </c>
      <c r="B1046" s="115">
        <v>808</v>
      </c>
      <c r="C1046" s="8" t="s">
        <v>230</v>
      </c>
      <c r="D1046" s="8" t="s">
        <v>224</v>
      </c>
      <c r="E1046" s="115" t="s">
        <v>492</v>
      </c>
      <c r="F1046" s="115">
        <v>610</v>
      </c>
      <c r="G1046" s="70">
        <f t="shared" si="224"/>
        <v>2143</v>
      </c>
      <c r="H1046" s="70">
        <f t="shared" si="224"/>
        <v>0</v>
      </c>
      <c r="I1046" s="70">
        <f t="shared" si="215"/>
        <v>2143</v>
      </c>
      <c r="J1046" s="70">
        <f t="shared" si="224"/>
        <v>0</v>
      </c>
      <c r="K1046" s="87">
        <f t="shared" si="210"/>
        <v>2143</v>
      </c>
      <c r="L1046" s="13">
        <f t="shared" si="224"/>
        <v>0</v>
      </c>
      <c r="M1046" s="87">
        <f t="shared" si="213"/>
        <v>2143</v>
      </c>
      <c r="N1046" s="13">
        <f t="shared" si="224"/>
        <v>0</v>
      </c>
      <c r="O1046" s="87">
        <f t="shared" si="214"/>
        <v>2143</v>
      </c>
      <c r="P1046" s="13">
        <f t="shared" si="224"/>
        <v>0</v>
      </c>
      <c r="Q1046" s="87">
        <f t="shared" si="222"/>
        <v>2143</v>
      </c>
      <c r="R1046" s="13">
        <f t="shared" si="224"/>
        <v>0</v>
      </c>
      <c r="S1046" s="87">
        <f t="shared" si="220"/>
        <v>2143</v>
      </c>
    </row>
    <row r="1047" spans="1:19" ht="12.75">
      <c r="A1047" s="62" t="str">
        <f ca="1">IF(ISERROR(MATCH(F1047,Код_КВР,0)),"",INDIRECT(ADDRESS(MATCH(F1047,Код_КВР,0)+1,2,,,"КВР")))</f>
        <v>Субсидии бюджетным учреждениям на иные цели</v>
      </c>
      <c r="B1047" s="115">
        <v>808</v>
      </c>
      <c r="C1047" s="8" t="s">
        <v>230</v>
      </c>
      <c r="D1047" s="8" t="s">
        <v>224</v>
      </c>
      <c r="E1047" s="115" t="s">
        <v>492</v>
      </c>
      <c r="F1047" s="115">
        <v>612</v>
      </c>
      <c r="G1047" s="70">
        <v>2143</v>
      </c>
      <c r="H1047" s="70"/>
      <c r="I1047" s="70">
        <f t="shared" si="215"/>
        <v>2143</v>
      </c>
      <c r="J1047" s="70"/>
      <c r="K1047" s="87">
        <f t="shared" si="210"/>
        <v>2143</v>
      </c>
      <c r="L1047" s="13"/>
      <c r="M1047" s="87">
        <f t="shared" si="213"/>
        <v>2143</v>
      </c>
      <c r="N1047" s="13"/>
      <c r="O1047" s="87">
        <f t="shared" si="214"/>
        <v>2143</v>
      </c>
      <c r="P1047" s="13"/>
      <c r="Q1047" s="87">
        <f t="shared" si="222"/>
        <v>2143</v>
      </c>
      <c r="R1047" s="13"/>
      <c r="S1047" s="87">
        <f t="shared" si="220"/>
        <v>2143</v>
      </c>
    </row>
    <row r="1048" spans="1:19" ht="12.75">
      <c r="A1048" s="62" t="str">
        <f ca="1">IF(ISERROR(MATCH(E1048,Код_КЦСР,0)),"",INDIRECT(ADDRESS(MATCH(E1048,Код_КЦСР,0)+1,2,,,"КЦСР")))</f>
        <v>Совершенствование культурно-досуговой деятельности</v>
      </c>
      <c r="B1048" s="115">
        <v>808</v>
      </c>
      <c r="C1048" s="8" t="s">
        <v>230</v>
      </c>
      <c r="D1048" s="8" t="s">
        <v>224</v>
      </c>
      <c r="E1048" s="115" t="s">
        <v>501</v>
      </c>
      <c r="F1048" s="115"/>
      <c r="G1048" s="70">
        <f>G1049+G1053</f>
        <v>557</v>
      </c>
      <c r="H1048" s="70">
        <f>H1049+H1053</f>
        <v>0</v>
      </c>
      <c r="I1048" s="70">
        <f t="shared" si="215"/>
        <v>557</v>
      </c>
      <c r="J1048" s="70">
        <f>J1049+J1053</f>
        <v>0</v>
      </c>
      <c r="K1048" s="87">
        <f t="shared" si="210"/>
        <v>557</v>
      </c>
      <c r="L1048" s="13">
        <f>L1049+L1053</f>
        <v>0</v>
      </c>
      <c r="M1048" s="87">
        <f t="shared" si="213"/>
        <v>557</v>
      </c>
      <c r="N1048" s="13">
        <f>N1049+N1053</f>
        <v>0</v>
      </c>
      <c r="O1048" s="87">
        <f t="shared" si="214"/>
        <v>557</v>
      </c>
      <c r="P1048" s="13">
        <f>P1049+P1053</f>
        <v>0</v>
      </c>
      <c r="Q1048" s="87">
        <f t="shared" si="222"/>
        <v>557</v>
      </c>
      <c r="R1048" s="13">
        <f>R1049+R1053</f>
        <v>0</v>
      </c>
      <c r="S1048" s="87">
        <f t="shared" si="220"/>
        <v>557</v>
      </c>
    </row>
    <row r="1049" spans="1:19" ht="66">
      <c r="A1049" s="62" t="str">
        <f ca="1">IF(ISERROR(MATCH(E1049,Код_КЦСР,0)),"",INDIRECT(ADDRESS(MATCH(E1049,Код_КЦСР,0)+1,2,,,"КЦСР")))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1049" s="115">
        <v>808</v>
      </c>
      <c r="C1049" s="8" t="s">
        <v>230</v>
      </c>
      <c r="D1049" s="8" t="s">
        <v>224</v>
      </c>
      <c r="E1049" s="115" t="s">
        <v>503</v>
      </c>
      <c r="F1049" s="115"/>
      <c r="G1049" s="70">
        <f aca="true" t="shared" si="225" ref="G1049:R1051">G1050</f>
        <v>450</v>
      </c>
      <c r="H1049" s="70">
        <f t="shared" si="225"/>
        <v>0</v>
      </c>
      <c r="I1049" s="70">
        <f t="shared" si="215"/>
        <v>450</v>
      </c>
      <c r="J1049" s="70">
        <f t="shared" si="225"/>
        <v>0</v>
      </c>
      <c r="K1049" s="87">
        <f t="shared" si="210"/>
        <v>450</v>
      </c>
      <c r="L1049" s="13">
        <f t="shared" si="225"/>
        <v>0</v>
      </c>
      <c r="M1049" s="87">
        <f t="shared" si="213"/>
        <v>450</v>
      </c>
      <c r="N1049" s="13">
        <f t="shared" si="225"/>
        <v>0</v>
      </c>
      <c r="O1049" s="87">
        <f t="shared" si="214"/>
        <v>450</v>
      </c>
      <c r="P1049" s="13">
        <f t="shared" si="225"/>
        <v>0</v>
      </c>
      <c r="Q1049" s="87">
        <f t="shared" si="222"/>
        <v>450</v>
      </c>
      <c r="R1049" s="13">
        <f t="shared" si="225"/>
        <v>0</v>
      </c>
      <c r="S1049" s="87">
        <f t="shared" si="220"/>
        <v>450</v>
      </c>
    </row>
    <row r="1050" spans="1:19" ht="33">
      <c r="A1050" s="62" t="str">
        <f ca="1">IF(ISERROR(MATCH(F1050,Код_КВР,0)),"",INDIRECT(ADDRESS(MATCH(F1050,Код_КВР,0)+1,2,,,"КВР")))</f>
        <v>Предоставление субсидий бюджетным, автономным учреждениям и иным некоммерческим организациям</v>
      </c>
      <c r="B1050" s="115">
        <v>808</v>
      </c>
      <c r="C1050" s="8" t="s">
        <v>230</v>
      </c>
      <c r="D1050" s="8" t="s">
        <v>224</v>
      </c>
      <c r="E1050" s="115" t="s">
        <v>503</v>
      </c>
      <c r="F1050" s="115">
        <v>600</v>
      </c>
      <c r="G1050" s="70">
        <f t="shared" si="225"/>
        <v>450</v>
      </c>
      <c r="H1050" s="70">
        <f t="shared" si="225"/>
        <v>0</v>
      </c>
      <c r="I1050" s="70">
        <f t="shared" si="215"/>
        <v>450</v>
      </c>
      <c r="J1050" s="70">
        <f t="shared" si="225"/>
        <v>0</v>
      </c>
      <c r="K1050" s="87">
        <f t="shared" si="210"/>
        <v>450</v>
      </c>
      <c r="L1050" s="13">
        <f t="shared" si="225"/>
        <v>0</v>
      </c>
      <c r="M1050" s="87">
        <f t="shared" si="213"/>
        <v>450</v>
      </c>
      <c r="N1050" s="13">
        <f t="shared" si="225"/>
        <v>0</v>
      </c>
      <c r="O1050" s="87">
        <f t="shared" si="214"/>
        <v>450</v>
      </c>
      <c r="P1050" s="13">
        <f t="shared" si="225"/>
        <v>0</v>
      </c>
      <c r="Q1050" s="87">
        <f t="shared" si="222"/>
        <v>450</v>
      </c>
      <c r="R1050" s="13">
        <f t="shared" si="225"/>
        <v>0</v>
      </c>
      <c r="S1050" s="87">
        <f t="shared" si="220"/>
        <v>450</v>
      </c>
    </row>
    <row r="1051" spans="1:19" ht="12.75">
      <c r="A1051" s="62" t="str">
        <f ca="1">IF(ISERROR(MATCH(F1051,Код_КВР,0)),"",INDIRECT(ADDRESS(MATCH(F1051,Код_КВР,0)+1,2,,,"КВР")))</f>
        <v>Субсидии бюджетным учреждениям</v>
      </c>
      <c r="B1051" s="115">
        <v>808</v>
      </c>
      <c r="C1051" s="8" t="s">
        <v>230</v>
      </c>
      <c r="D1051" s="8" t="s">
        <v>224</v>
      </c>
      <c r="E1051" s="115" t="s">
        <v>503</v>
      </c>
      <c r="F1051" s="115">
        <v>610</v>
      </c>
      <c r="G1051" s="70">
        <f t="shared" si="225"/>
        <v>450</v>
      </c>
      <c r="H1051" s="70">
        <f t="shared" si="225"/>
        <v>0</v>
      </c>
      <c r="I1051" s="70">
        <f t="shared" si="215"/>
        <v>450</v>
      </c>
      <c r="J1051" s="70">
        <f t="shared" si="225"/>
        <v>0</v>
      </c>
      <c r="K1051" s="87">
        <f t="shared" si="210"/>
        <v>450</v>
      </c>
      <c r="L1051" s="13">
        <f t="shared" si="225"/>
        <v>0</v>
      </c>
      <c r="M1051" s="87">
        <f t="shared" si="213"/>
        <v>450</v>
      </c>
      <c r="N1051" s="13">
        <f t="shared" si="225"/>
        <v>0</v>
      </c>
      <c r="O1051" s="87">
        <f t="shared" si="214"/>
        <v>450</v>
      </c>
      <c r="P1051" s="13">
        <f t="shared" si="225"/>
        <v>0</v>
      </c>
      <c r="Q1051" s="87">
        <f t="shared" si="222"/>
        <v>450</v>
      </c>
      <c r="R1051" s="13">
        <f t="shared" si="225"/>
        <v>0</v>
      </c>
      <c r="S1051" s="87">
        <f t="shared" si="220"/>
        <v>450</v>
      </c>
    </row>
    <row r="1052" spans="1:19" ht="12.75">
      <c r="A1052" s="62" t="str">
        <f ca="1">IF(ISERROR(MATCH(F1052,Код_КВР,0)),"",INDIRECT(ADDRESS(MATCH(F1052,Код_КВР,0)+1,2,,,"КВР")))</f>
        <v>Субсидии бюджетным учреждениям на иные цели</v>
      </c>
      <c r="B1052" s="115">
        <v>808</v>
      </c>
      <c r="C1052" s="8" t="s">
        <v>230</v>
      </c>
      <c r="D1052" s="8" t="s">
        <v>224</v>
      </c>
      <c r="E1052" s="115" t="s">
        <v>503</v>
      </c>
      <c r="F1052" s="115">
        <v>612</v>
      </c>
      <c r="G1052" s="70">
        <v>450</v>
      </c>
      <c r="H1052" s="70"/>
      <c r="I1052" s="70">
        <f t="shared" si="215"/>
        <v>450</v>
      </c>
      <c r="J1052" s="70"/>
      <c r="K1052" s="87">
        <f t="shared" si="210"/>
        <v>450</v>
      </c>
      <c r="L1052" s="13"/>
      <c r="M1052" s="87">
        <f t="shared" si="213"/>
        <v>450</v>
      </c>
      <c r="N1052" s="13"/>
      <c r="O1052" s="87">
        <f t="shared" si="214"/>
        <v>450</v>
      </c>
      <c r="P1052" s="13"/>
      <c r="Q1052" s="87">
        <f t="shared" si="222"/>
        <v>450</v>
      </c>
      <c r="R1052" s="13"/>
      <c r="S1052" s="87">
        <f t="shared" si="220"/>
        <v>450</v>
      </c>
    </row>
    <row r="1053" spans="1:19" ht="82.5">
      <c r="A1053" s="62" t="str">
        <f ca="1">IF(ISERROR(MATCH(E1053,Код_КЦСР,0)),"",INDIRECT(ADDRESS(MATCH(E1053,Код_КЦСР,0)+1,2,,,"КЦСР")))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1053" s="115">
        <v>808</v>
      </c>
      <c r="C1053" s="8" t="s">
        <v>230</v>
      </c>
      <c r="D1053" s="8" t="s">
        <v>224</v>
      </c>
      <c r="E1053" s="115" t="s">
        <v>507</v>
      </c>
      <c r="F1053" s="115"/>
      <c r="G1053" s="70">
        <f aca="true" t="shared" si="226" ref="G1053:R1055">G1054</f>
        <v>107</v>
      </c>
      <c r="H1053" s="70">
        <f t="shared" si="226"/>
        <v>0</v>
      </c>
      <c r="I1053" s="70">
        <f t="shared" si="215"/>
        <v>107</v>
      </c>
      <c r="J1053" s="70">
        <f t="shared" si="226"/>
        <v>0</v>
      </c>
      <c r="K1053" s="87">
        <f t="shared" si="210"/>
        <v>107</v>
      </c>
      <c r="L1053" s="13">
        <f t="shared" si="226"/>
        <v>0</v>
      </c>
      <c r="M1053" s="87">
        <f t="shared" si="213"/>
        <v>107</v>
      </c>
      <c r="N1053" s="13">
        <f t="shared" si="226"/>
        <v>0</v>
      </c>
      <c r="O1053" s="87">
        <f t="shared" si="214"/>
        <v>107</v>
      </c>
      <c r="P1053" s="13">
        <f t="shared" si="226"/>
        <v>0</v>
      </c>
      <c r="Q1053" s="87">
        <f t="shared" si="222"/>
        <v>107</v>
      </c>
      <c r="R1053" s="13">
        <f t="shared" si="226"/>
        <v>0</v>
      </c>
      <c r="S1053" s="87">
        <f t="shared" si="220"/>
        <v>107</v>
      </c>
    </row>
    <row r="1054" spans="1:19" ht="33">
      <c r="A1054" s="62" t="str">
        <f ca="1">IF(ISERROR(MATCH(F1054,Код_КВР,0)),"",INDIRECT(ADDRESS(MATCH(F1054,Код_КВР,0)+1,2,,,"КВР")))</f>
        <v>Предоставление субсидий бюджетным, автономным учреждениям и иным некоммерческим организациям</v>
      </c>
      <c r="B1054" s="115">
        <v>808</v>
      </c>
      <c r="C1054" s="8" t="s">
        <v>230</v>
      </c>
      <c r="D1054" s="8" t="s">
        <v>224</v>
      </c>
      <c r="E1054" s="115" t="s">
        <v>507</v>
      </c>
      <c r="F1054" s="115">
        <v>600</v>
      </c>
      <c r="G1054" s="70">
        <f t="shared" si="226"/>
        <v>107</v>
      </c>
      <c r="H1054" s="70">
        <f t="shared" si="226"/>
        <v>0</v>
      </c>
      <c r="I1054" s="70">
        <f t="shared" si="215"/>
        <v>107</v>
      </c>
      <c r="J1054" s="70">
        <f t="shared" si="226"/>
        <v>0</v>
      </c>
      <c r="K1054" s="87">
        <f t="shared" si="210"/>
        <v>107</v>
      </c>
      <c r="L1054" s="13">
        <f t="shared" si="226"/>
        <v>0</v>
      </c>
      <c r="M1054" s="87">
        <f t="shared" si="213"/>
        <v>107</v>
      </c>
      <c r="N1054" s="13">
        <f t="shared" si="226"/>
        <v>0</v>
      </c>
      <c r="O1054" s="87">
        <f t="shared" si="214"/>
        <v>107</v>
      </c>
      <c r="P1054" s="13">
        <f t="shared" si="226"/>
        <v>0</v>
      </c>
      <c r="Q1054" s="87">
        <f t="shared" si="222"/>
        <v>107</v>
      </c>
      <c r="R1054" s="13">
        <f t="shared" si="226"/>
        <v>0</v>
      </c>
      <c r="S1054" s="87">
        <f t="shared" si="220"/>
        <v>107</v>
      </c>
    </row>
    <row r="1055" spans="1:19" ht="12.75">
      <c r="A1055" s="62" t="str">
        <f ca="1">IF(ISERROR(MATCH(F1055,Код_КВР,0)),"",INDIRECT(ADDRESS(MATCH(F1055,Код_КВР,0)+1,2,,,"КВР")))</f>
        <v>Субсидии бюджетным учреждениям</v>
      </c>
      <c r="B1055" s="115">
        <v>808</v>
      </c>
      <c r="C1055" s="8" t="s">
        <v>230</v>
      </c>
      <c r="D1055" s="8" t="s">
        <v>224</v>
      </c>
      <c r="E1055" s="115" t="s">
        <v>507</v>
      </c>
      <c r="F1055" s="115">
        <v>610</v>
      </c>
      <c r="G1055" s="70">
        <f t="shared" si="226"/>
        <v>107</v>
      </c>
      <c r="H1055" s="70">
        <f t="shared" si="226"/>
        <v>0</v>
      </c>
      <c r="I1055" s="70">
        <f t="shared" si="215"/>
        <v>107</v>
      </c>
      <c r="J1055" s="70">
        <f t="shared" si="226"/>
        <v>0</v>
      </c>
      <c r="K1055" s="87">
        <f t="shared" si="210"/>
        <v>107</v>
      </c>
      <c r="L1055" s="13">
        <f t="shared" si="226"/>
        <v>0</v>
      </c>
      <c r="M1055" s="87">
        <f t="shared" si="213"/>
        <v>107</v>
      </c>
      <c r="N1055" s="13">
        <f t="shared" si="226"/>
        <v>0</v>
      </c>
      <c r="O1055" s="87">
        <f t="shared" si="214"/>
        <v>107</v>
      </c>
      <c r="P1055" s="13">
        <f t="shared" si="226"/>
        <v>0</v>
      </c>
      <c r="Q1055" s="87">
        <f t="shared" si="222"/>
        <v>107</v>
      </c>
      <c r="R1055" s="13">
        <f t="shared" si="226"/>
        <v>0</v>
      </c>
      <c r="S1055" s="87">
        <f t="shared" si="220"/>
        <v>107</v>
      </c>
    </row>
    <row r="1056" spans="1:19" ht="12.75">
      <c r="A1056" s="62" t="str">
        <f ca="1">IF(ISERROR(MATCH(F1056,Код_КВР,0)),"",INDIRECT(ADDRESS(MATCH(F1056,Код_КВР,0)+1,2,,,"КВР")))</f>
        <v>Субсидии бюджетным учреждениям на иные цели</v>
      </c>
      <c r="B1056" s="115">
        <v>808</v>
      </c>
      <c r="C1056" s="8" t="s">
        <v>230</v>
      </c>
      <c r="D1056" s="8" t="s">
        <v>224</v>
      </c>
      <c r="E1056" s="115" t="s">
        <v>507</v>
      </c>
      <c r="F1056" s="115">
        <v>612</v>
      </c>
      <c r="G1056" s="70">
        <v>107</v>
      </c>
      <c r="H1056" s="70"/>
      <c r="I1056" s="70">
        <f t="shared" si="215"/>
        <v>107</v>
      </c>
      <c r="J1056" s="70"/>
      <c r="K1056" s="87">
        <f t="shared" si="210"/>
        <v>107</v>
      </c>
      <c r="L1056" s="13"/>
      <c r="M1056" s="87">
        <f t="shared" si="213"/>
        <v>107</v>
      </c>
      <c r="N1056" s="13"/>
      <c r="O1056" s="87">
        <f t="shared" si="214"/>
        <v>107</v>
      </c>
      <c r="P1056" s="13"/>
      <c r="Q1056" s="87">
        <f t="shared" si="222"/>
        <v>107</v>
      </c>
      <c r="R1056" s="13"/>
      <c r="S1056" s="87">
        <f t="shared" si="220"/>
        <v>107</v>
      </c>
    </row>
    <row r="1057" spans="1:19" ht="12.75">
      <c r="A1057" s="62" t="str">
        <f ca="1">IF(ISERROR(MATCH(E1057,Код_КЦСР,0)),"",INDIRECT(ADDRESS(MATCH(E1057,Код_КЦСР,0)+1,2,,,"КЦСР")))</f>
        <v>Развитие исполнительских искусств</v>
      </c>
      <c r="B1057" s="115">
        <v>808</v>
      </c>
      <c r="C1057" s="8" t="s">
        <v>230</v>
      </c>
      <c r="D1057" s="8" t="s">
        <v>224</v>
      </c>
      <c r="E1057" s="115" t="s">
        <v>511</v>
      </c>
      <c r="F1057" s="115"/>
      <c r="G1057" s="70">
        <f>G1058+G1062</f>
        <v>1912</v>
      </c>
      <c r="H1057" s="70">
        <f>H1058+H1062</f>
        <v>0</v>
      </c>
      <c r="I1057" s="70">
        <f t="shared" si="215"/>
        <v>1912</v>
      </c>
      <c r="J1057" s="70">
        <f>J1058+J1062</f>
        <v>0</v>
      </c>
      <c r="K1057" s="87">
        <f t="shared" si="210"/>
        <v>1912</v>
      </c>
      <c r="L1057" s="13">
        <f>L1058+L1062</f>
        <v>0</v>
      </c>
      <c r="M1057" s="87">
        <f t="shared" si="213"/>
        <v>1912</v>
      </c>
      <c r="N1057" s="13">
        <f>N1058+N1062</f>
        <v>0</v>
      </c>
      <c r="O1057" s="87">
        <f t="shared" si="214"/>
        <v>1912</v>
      </c>
      <c r="P1057" s="13">
        <f>P1058+P1062</f>
        <v>0</v>
      </c>
      <c r="Q1057" s="87">
        <f t="shared" si="222"/>
        <v>1912</v>
      </c>
      <c r="R1057" s="13">
        <f>R1058+R1062</f>
        <v>0</v>
      </c>
      <c r="S1057" s="87">
        <f t="shared" si="220"/>
        <v>1912</v>
      </c>
    </row>
    <row r="1058" spans="1:19" ht="66">
      <c r="A1058" s="62" t="str">
        <f ca="1">IF(ISERROR(MATCH(E1058,Код_КЦСР,0)),"",INDIRECT(ADDRESS(MATCH(E1058,Код_КЦСР,0)+1,2,,,"КЦСР")))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1058" s="115">
        <v>808</v>
      </c>
      <c r="C1058" s="8" t="s">
        <v>230</v>
      </c>
      <c r="D1058" s="8" t="s">
        <v>224</v>
      </c>
      <c r="E1058" s="115" t="s">
        <v>513</v>
      </c>
      <c r="F1058" s="115"/>
      <c r="G1058" s="70">
        <f aca="true" t="shared" si="227" ref="G1058:R1060">G1059</f>
        <v>612</v>
      </c>
      <c r="H1058" s="70">
        <f t="shared" si="227"/>
        <v>0</v>
      </c>
      <c r="I1058" s="70">
        <f t="shared" si="215"/>
        <v>612</v>
      </c>
      <c r="J1058" s="70">
        <f t="shared" si="227"/>
        <v>0</v>
      </c>
      <c r="K1058" s="87">
        <f t="shared" si="210"/>
        <v>612</v>
      </c>
      <c r="L1058" s="13">
        <f t="shared" si="227"/>
        <v>0</v>
      </c>
      <c r="M1058" s="87">
        <f t="shared" si="213"/>
        <v>612</v>
      </c>
      <c r="N1058" s="13">
        <f t="shared" si="227"/>
        <v>0</v>
      </c>
      <c r="O1058" s="87">
        <f t="shared" si="214"/>
        <v>612</v>
      </c>
      <c r="P1058" s="13">
        <f t="shared" si="227"/>
        <v>0</v>
      </c>
      <c r="Q1058" s="87">
        <f t="shared" si="222"/>
        <v>612</v>
      </c>
      <c r="R1058" s="13">
        <f t="shared" si="227"/>
        <v>0</v>
      </c>
      <c r="S1058" s="87">
        <f t="shared" si="220"/>
        <v>612</v>
      </c>
    </row>
    <row r="1059" spans="1:19" ht="33">
      <c r="A1059" s="62" t="str">
        <f ca="1">IF(ISERROR(MATCH(F1059,Код_КВР,0)),"",INDIRECT(ADDRESS(MATCH(F1059,Код_КВР,0)+1,2,,,"КВР")))</f>
        <v>Предоставление субсидий бюджетным, автономным учреждениям и иным некоммерческим организациям</v>
      </c>
      <c r="B1059" s="115">
        <v>808</v>
      </c>
      <c r="C1059" s="8" t="s">
        <v>230</v>
      </c>
      <c r="D1059" s="8" t="s">
        <v>224</v>
      </c>
      <c r="E1059" s="115" t="s">
        <v>513</v>
      </c>
      <c r="F1059" s="115">
        <v>600</v>
      </c>
      <c r="G1059" s="70">
        <f t="shared" si="227"/>
        <v>612</v>
      </c>
      <c r="H1059" s="70">
        <f t="shared" si="227"/>
        <v>0</v>
      </c>
      <c r="I1059" s="70">
        <f t="shared" si="215"/>
        <v>612</v>
      </c>
      <c r="J1059" s="70">
        <f t="shared" si="227"/>
        <v>0</v>
      </c>
      <c r="K1059" s="87">
        <f aca="true" t="shared" si="228" ref="K1059:K1122">I1059+J1059</f>
        <v>612</v>
      </c>
      <c r="L1059" s="13">
        <f t="shared" si="227"/>
        <v>0</v>
      </c>
      <c r="M1059" s="87">
        <f t="shared" si="213"/>
        <v>612</v>
      </c>
      <c r="N1059" s="13">
        <f t="shared" si="227"/>
        <v>0</v>
      </c>
      <c r="O1059" s="87">
        <f t="shared" si="214"/>
        <v>612</v>
      </c>
      <c r="P1059" s="13">
        <f t="shared" si="227"/>
        <v>0</v>
      </c>
      <c r="Q1059" s="87">
        <f t="shared" si="222"/>
        <v>612</v>
      </c>
      <c r="R1059" s="13">
        <f t="shared" si="227"/>
        <v>0</v>
      </c>
      <c r="S1059" s="87">
        <f t="shared" si="220"/>
        <v>612</v>
      </c>
    </row>
    <row r="1060" spans="1:19" ht="12.75">
      <c r="A1060" s="62" t="str">
        <f ca="1">IF(ISERROR(MATCH(F1060,Код_КВР,0)),"",INDIRECT(ADDRESS(MATCH(F1060,Код_КВР,0)+1,2,,,"КВР")))</f>
        <v>Субсидии автономным учреждениям</v>
      </c>
      <c r="B1060" s="115">
        <v>808</v>
      </c>
      <c r="C1060" s="8" t="s">
        <v>230</v>
      </c>
      <c r="D1060" s="8" t="s">
        <v>224</v>
      </c>
      <c r="E1060" s="115" t="s">
        <v>513</v>
      </c>
      <c r="F1060" s="115">
        <v>620</v>
      </c>
      <c r="G1060" s="70">
        <f t="shared" si="227"/>
        <v>612</v>
      </c>
      <c r="H1060" s="70">
        <f t="shared" si="227"/>
        <v>0</v>
      </c>
      <c r="I1060" s="70">
        <f t="shared" si="215"/>
        <v>612</v>
      </c>
      <c r="J1060" s="70">
        <f t="shared" si="227"/>
        <v>0</v>
      </c>
      <c r="K1060" s="87">
        <f t="shared" si="228"/>
        <v>612</v>
      </c>
      <c r="L1060" s="13">
        <f t="shared" si="227"/>
        <v>0</v>
      </c>
      <c r="M1060" s="87">
        <f t="shared" si="213"/>
        <v>612</v>
      </c>
      <c r="N1060" s="13">
        <f t="shared" si="227"/>
        <v>0</v>
      </c>
      <c r="O1060" s="87">
        <f t="shared" si="214"/>
        <v>612</v>
      </c>
      <c r="P1060" s="13">
        <f t="shared" si="227"/>
        <v>0</v>
      </c>
      <c r="Q1060" s="87">
        <f t="shared" si="222"/>
        <v>612</v>
      </c>
      <c r="R1060" s="13">
        <f t="shared" si="227"/>
        <v>0</v>
      </c>
      <c r="S1060" s="87">
        <f t="shared" si="220"/>
        <v>612</v>
      </c>
    </row>
    <row r="1061" spans="1:19" ht="12.75">
      <c r="A1061" s="62" t="str">
        <f ca="1">IF(ISERROR(MATCH(F1061,Код_КВР,0)),"",INDIRECT(ADDRESS(MATCH(F1061,Код_КВР,0)+1,2,,,"КВР")))</f>
        <v>Субсидии автономным учреждениям на иные цели</v>
      </c>
      <c r="B1061" s="115">
        <v>808</v>
      </c>
      <c r="C1061" s="8" t="s">
        <v>230</v>
      </c>
      <c r="D1061" s="8" t="s">
        <v>224</v>
      </c>
      <c r="E1061" s="115" t="s">
        <v>513</v>
      </c>
      <c r="F1061" s="115">
        <v>622</v>
      </c>
      <c r="G1061" s="70">
        <v>612</v>
      </c>
      <c r="H1061" s="70"/>
      <c r="I1061" s="70">
        <f t="shared" si="215"/>
        <v>612</v>
      </c>
      <c r="J1061" s="70"/>
      <c r="K1061" s="87">
        <f t="shared" si="228"/>
        <v>612</v>
      </c>
      <c r="L1061" s="13"/>
      <c r="M1061" s="87">
        <f t="shared" si="213"/>
        <v>612</v>
      </c>
      <c r="N1061" s="13"/>
      <c r="O1061" s="87">
        <f t="shared" si="214"/>
        <v>612</v>
      </c>
      <c r="P1061" s="13"/>
      <c r="Q1061" s="87">
        <f t="shared" si="222"/>
        <v>612</v>
      </c>
      <c r="R1061" s="13"/>
      <c r="S1061" s="87">
        <f t="shared" si="220"/>
        <v>612</v>
      </c>
    </row>
    <row r="1062" spans="1:19" ht="49.5">
      <c r="A1062" s="62" t="str">
        <f ca="1">IF(ISERROR(MATCH(E1062,Код_КЦСР,0)),"",INDIRECT(ADDRESS(MATCH(E1062,Код_КЦСР,0)+1,2,,,"КЦСР")))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1062" s="115">
        <v>808</v>
      </c>
      <c r="C1062" s="8" t="s">
        <v>230</v>
      </c>
      <c r="D1062" s="8" t="s">
        <v>224</v>
      </c>
      <c r="E1062" s="115" t="s">
        <v>514</v>
      </c>
      <c r="F1062" s="115"/>
      <c r="G1062" s="70">
        <f>G1063</f>
        <v>1300</v>
      </c>
      <c r="H1062" s="70">
        <f>H1063</f>
        <v>0</v>
      </c>
      <c r="I1062" s="70">
        <f t="shared" si="215"/>
        <v>1300</v>
      </c>
      <c r="J1062" s="70">
        <f>J1063</f>
        <v>0</v>
      </c>
      <c r="K1062" s="87">
        <f t="shared" si="228"/>
        <v>1300</v>
      </c>
      <c r="L1062" s="13">
        <f>L1063</f>
        <v>0</v>
      </c>
      <c r="M1062" s="87">
        <f t="shared" si="213"/>
        <v>1300</v>
      </c>
      <c r="N1062" s="13">
        <f>N1063</f>
        <v>0</v>
      </c>
      <c r="O1062" s="87">
        <f t="shared" si="214"/>
        <v>1300</v>
      </c>
      <c r="P1062" s="13">
        <f>P1063</f>
        <v>0</v>
      </c>
      <c r="Q1062" s="87">
        <f t="shared" si="222"/>
        <v>1300</v>
      </c>
      <c r="R1062" s="13">
        <f>R1063</f>
        <v>0</v>
      </c>
      <c r="S1062" s="87">
        <f t="shared" si="220"/>
        <v>1300</v>
      </c>
    </row>
    <row r="1063" spans="1:19" ht="33">
      <c r="A1063" s="62" t="str">
        <f ca="1">IF(ISERROR(MATCH(F1063,Код_КВР,0)),"",INDIRECT(ADDRESS(MATCH(F1063,Код_КВР,0)+1,2,,,"КВР")))</f>
        <v>Предоставление субсидий бюджетным, автономным учреждениям и иным некоммерческим организациям</v>
      </c>
      <c r="B1063" s="115">
        <v>808</v>
      </c>
      <c r="C1063" s="8" t="s">
        <v>230</v>
      </c>
      <c r="D1063" s="8" t="s">
        <v>224</v>
      </c>
      <c r="E1063" s="115" t="s">
        <v>514</v>
      </c>
      <c r="F1063" s="115">
        <v>600</v>
      </c>
      <c r="G1063" s="70">
        <f>G1064+G1066</f>
        <v>1300</v>
      </c>
      <c r="H1063" s="70">
        <f>H1064+H1066</f>
        <v>0</v>
      </c>
      <c r="I1063" s="70">
        <f t="shared" si="215"/>
        <v>1300</v>
      </c>
      <c r="J1063" s="70">
        <f>J1064+J1066</f>
        <v>0</v>
      </c>
      <c r="K1063" s="87">
        <f t="shared" si="228"/>
        <v>1300</v>
      </c>
      <c r="L1063" s="13">
        <f>L1064+L1066</f>
        <v>0</v>
      </c>
      <c r="M1063" s="87">
        <f t="shared" si="213"/>
        <v>1300</v>
      </c>
      <c r="N1063" s="13">
        <f>N1064+N1066</f>
        <v>0</v>
      </c>
      <c r="O1063" s="87">
        <f t="shared" si="214"/>
        <v>1300</v>
      </c>
      <c r="P1063" s="13">
        <f>P1064+P1066</f>
        <v>0</v>
      </c>
      <c r="Q1063" s="87">
        <f t="shared" si="222"/>
        <v>1300</v>
      </c>
      <c r="R1063" s="13">
        <f>R1064+R1066</f>
        <v>0</v>
      </c>
      <c r="S1063" s="87">
        <f t="shared" si="220"/>
        <v>1300</v>
      </c>
    </row>
    <row r="1064" spans="1:19" ht="12.75">
      <c r="A1064" s="62" t="str">
        <f ca="1">IF(ISERROR(MATCH(F1064,Код_КВР,0)),"",INDIRECT(ADDRESS(MATCH(F1064,Код_КВР,0)+1,2,,,"КВР")))</f>
        <v>Субсидии бюджетным учреждениям</v>
      </c>
      <c r="B1064" s="115">
        <v>808</v>
      </c>
      <c r="C1064" s="8" t="s">
        <v>230</v>
      </c>
      <c r="D1064" s="8" t="s">
        <v>224</v>
      </c>
      <c r="E1064" s="115" t="s">
        <v>514</v>
      </c>
      <c r="F1064" s="115">
        <v>610</v>
      </c>
      <c r="G1064" s="70">
        <f>G1065</f>
        <v>200</v>
      </c>
      <c r="H1064" s="70">
        <f>H1065</f>
        <v>0</v>
      </c>
      <c r="I1064" s="70">
        <f t="shared" si="215"/>
        <v>200</v>
      </c>
      <c r="J1064" s="70">
        <f>J1065</f>
        <v>0</v>
      </c>
      <c r="K1064" s="87">
        <f t="shared" si="228"/>
        <v>200</v>
      </c>
      <c r="L1064" s="13">
        <f>L1065</f>
        <v>0</v>
      </c>
      <c r="M1064" s="87">
        <f aca="true" t="shared" si="229" ref="M1064:M1127">K1064+L1064</f>
        <v>200</v>
      </c>
      <c r="N1064" s="13">
        <f>N1065</f>
        <v>0</v>
      </c>
      <c r="O1064" s="87">
        <f aca="true" t="shared" si="230" ref="O1064:O1127">M1064+N1064</f>
        <v>200</v>
      </c>
      <c r="P1064" s="13">
        <f>P1065</f>
        <v>0</v>
      </c>
      <c r="Q1064" s="87">
        <f t="shared" si="222"/>
        <v>200</v>
      </c>
      <c r="R1064" s="13">
        <f>R1065</f>
        <v>0</v>
      </c>
      <c r="S1064" s="87">
        <f t="shared" si="220"/>
        <v>200</v>
      </c>
    </row>
    <row r="1065" spans="1:19" ht="12.75">
      <c r="A1065" s="62" t="str">
        <f ca="1">IF(ISERROR(MATCH(F1065,Код_КВР,0)),"",INDIRECT(ADDRESS(MATCH(F1065,Код_КВР,0)+1,2,,,"КВР")))</f>
        <v>Субсидии бюджетным учреждениям на иные цели</v>
      </c>
      <c r="B1065" s="115">
        <v>808</v>
      </c>
      <c r="C1065" s="8" t="s">
        <v>230</v>
      </c>
      <c r="D1065" s="8" t="s">
        <v>224</v>
      </c>
      <c r="E1065" s="115" t="s">
        <v>514</v>
      </c>
      <c r="F1065" s="115">
        <v>612</v>
      </c>
      <c r="G1065" s="70">
        <v>200</v>
      </c>
      <c r="H1065" s="70"/>
      <c r="I1065" s="70">
        <f t="shared" si="215"/>
        <v>200</v>
      </c>
      <c r="J1065" s="70"/>
      <c r="K1065" s="87">
        <f t="shared" si="228"/>
        <v>200</v>
      </c>
      <c r="L1065" s="13"/>
      <c r="M1065" s="87">
        <f t="shared" si="229"/>
        <v>200</v>
      </c>
      <c r="N1065" s="13"/>
      <c r="O1065" s="87">
        <f t="shared" si="230"/>
        <v>200</v>
      </c>
      <c r="P1065" s="13"/>
      <c r="Q1065" s="87">
        <f t="shared" si="222"/>
        <v>200</v>
      </c>
      <c r="R1065" s="13"/>
      <c r="S1065" s="87">
        <f t="shared" si="220"/>
        <v>200</v>
      </c>
    </row>
    <row r="1066" spans="1:19" ht="12.75">
      <c r="A1066" s="62" t="str">
        <f ca="1">IF(ISERROR(MATCH(F1066,Код_КВР,0)),"",INDIRECT(ADDRESS(MATCH(F1066,Код_КВР,0)+1,2,,,"КВР")))</f>
        <v>Субсидии автономным учреждениям</v>
      </c>
      <c r="B1066" s="115">
        <v>808</v>
      </c>
      <c r="C1066" s="8" t="s">
        <v>230</v>
      </c>
      <c r="D1066" s="8" t="s">
        <v>224</v>
      </c>
      <c r="E1066" s="115" t="s">
        <v>514</v>
      </c>
      <c r="F1066" s="115">
        <v>620</v>
      </c>
      <c r="G1066" s="70">
        <f>G1067</f>
        <v>1100</v>
      </c>
      <c r="H1066" s="70">
        <f>H1067</f>
        <v>0</v>
      </c>
      <c r="I1066" s="70">
        <f t="shared" si="215"/>
        <v>1100</v>
      </c>
      <c r="J1066" s="70">
        <f>J1067</f>
        <v>0</v>
      </c>
      <c r="K1066" s="87">
        <f t="shared" si="228"/>
        <v>1100</v>
      </c>
      <c r="L1066" s="13">
        <f>L1067</f>
        <v>0</v>
      </c>
      <c r="M1066" s="87">
        <f t="shared" si="229"/>
        <v>1100</v>
      </c>
      <c r="N1066" s="13">
        <f>N1067</f>
        <v>0</v>
      </c>
      <c r="O1066" s="87">
        <f t="shared" si="230"/>
        <v>1100</v>
      </c>
      <c r="P1066" s="13">
        <f>P1067</f>
        <v>0</v>
      </c>
      <c r="Q1066" s="87">
        <f t="shared" si="222"/>
        <v>1100</v>
      </c>
      <c r="R1066" s="13">
        <f>R1067</f>
        <v>0</v>
      </c>
      <c r="S1066" s="87">
        <f t="shared" si="220"/>
        <v>1100</v>
      </c>
    </row>
    <row r="1067" spans="1:19" ht="12.75">
      <c r="A1067" s="62" t="str">
        <f ca="1">IF(ISERROR(MATCH(F1067,Код_КВР,0)),"",INDIRECT(ADDRESS(MATCH(F1067,Код_КВР,0)+1,2,,,"КВР")))</f>
        <v>Субсидии автономным учреждениям на иные цели</v>
      </c>
      <c r="B1067" s="115">
        <v>808</v>
      </c>
      <c r="C1067" s="8" t="s">
        <v>230</v>
      </c>
      <c r="D1067" s="8" t="s">
        <v>224</v>
      </c>
      <c r="E1067" s="115" t="s">
        <v>514</v>
      </c>
      <c r="F1067" s="115">
        <v>622</v>
      </c>
      <c r="G1067" s="70">
        <v>1100</v>
      </c>
      <c r="H1067" s="70"/>
      <c r="I1067" s="70">
        <f t="shared" si="215"/>
        <v>1100</v>
      </c>
      <c r="J1067" s="70"/>
      <c r="K1067" s="87">
        <f t="shared" si="228"/>
        <v>1100</v>
      </c>
      <c r="L1067" s="13"/>
      <c r="M1067" s="87">
        <f t="shared" si="229"/>
        <v>1100</v>
      </c>
      <c r="N1067" s="13"/>
      <c r="O1067" s="87">
        <f t="shared" si="230"/>
        <v>1100</v>
      </c>
      <c r="P1067" s="13"/>
      <c r="Q1067" s="87">
        <f t="shared" si="222"/>
        <v>1100</v>
      </c>
      <c r="R1067" s="13"/>
      <c r="S1067" s="87">
        <f t="shared" si="220"/>
        <v>1100</v>
      </c>
    </row>
    <row r="1068" spans="1:19" ht="12.75">
      <c r="A1068" s="62" t="str">
        <f ca="1">IF(ISERROR(MATCH(E1068,Код_КЦСР,0)),"",INDIRECT(ADDRESS(MATCH(E1068,Код_КЦСР,0)+1,2,,,"КЦСР")))</f>
        <v>Формирование постиндустриального образа города Череповца</v>
      </c>
      <c r="B1068" s="115">
        <v>808</v>
      </c>
      <c r="C1068" s="8" t="s">
        <v>230</v>
      </c>
      <c r="D1068" s="8" t="s">
        <v>224</v>
      </c>
      <c r="E1068" s="115" t="s">
        <v>516</v>
      </c>
      <c r="F1068" s="115"/>
      <c r="G1068" s="70">
        <f>G1069+G1073</f>
        <v>2730</v>
      </c>
      <c r="H1068" s="70">
        <f>H1069+H1073</f>
        <v>0</v>
      </c>
      <c r="I1068" s="70">
        <f t="shared" si="215"/>
        <v>2730</v>
      </c>
      <c r="J1068" s="70">
        <f>J1069+J1073</f>
        <v>0</v>
      </c>
      <c r="K1068" s="87">
        <f t="shared" si="228"/>
        <v>2730</v>
      </c>
      <c r="L1068" s="13">
        <f>L1069+L1073</f>
        <v>0</v>
      </c>
      <c r="M1068" s="87">
        <f t="shared" si="229"/>
        <v>2730</v>
      </c>
      <c r="N1068" s="13">
        <f>N1069+N1073</f>
        <v>0</v>
      </c>
      <c r="O1068" s="87">
        <f t="shared" si="230"/>
        <v>2730</v>
      </c>
      <c r="P1068" s="13">
        <f>P1069+P1073</f>
        <v>0</v>
      </c>
      <c r="Q1068" s="87">
        <f t="shared" si="222"/>
        <v>2730</v>
      </c>
      <c r="R1068" s="13">
        <f>R1069+R1073</f>
        <v>0</v>
      </c>
      <c r="S1068" s="87">
        <f t="shared" si="220"/>
        <v>2730</v>
      </c>
    </row>
    <row r="1069" spans="1:19" ht="66">
      <c r="A1069" s="62" t="str">
        <f ca="1">IF(ISERROR(MATCH(E1069,Код_КЦСР,0)),"",INDIRECT(ADDRESS(MATCH(E1069,Код_КЦСР,0)+1,2,,,"КЦСР")))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1069" s="115">
        <v>808</v>
      </c>
      <c r="C1069" s="8" t="s">
        <v>230</v>
      </c>
      <c r="D1069" s="8" t="s">
        <v>224</v>
      </c>
      <c r="E1069" s="115" t="s">
        <v>518</v>
      </c>
      <c r="F1069" s="115"/>
      <c r="G1069" s="70">
        <f aca="true" t="shared" si="231" ref="G1069:R1071">G1070</f>
        <v>2570</v>
      </c>
      <c r="H1069" s="70">
        <f t="shared" si="231"/>
        <v>0</v>
      </c>
      <c r="I1069" s="70">
        <f t="shared" si="215"/>
        <v>2570</v>
      </c>
      <c r="J1069" s="70">
        <f t="shared" si="231"/>
        <v>0</v>
      </c>
      <c r="K1069" s="87">
        <f t="shared" si="228"/>
        <v>2570</v>
      </c>
      <c r="L1069" s="13">
        <f t="shared" si="231"/>
        <v>0</v>
      </c>
      <c r="M1069" s="87">
        <f t="shared" si="229"/>
        <v>2570</v>
      </c>
      <c r="N1069" s="13">
        <f t="shared" si="231"/>
        <v>0</v>
      </c>
      <c r="O1069" s="87">
        <f t="shared" si="230"/>
        <v>2570</v>
      </c>
      <c r="P1069" s="13">
        <f t="shared" si="231"/>
        <v>0</v>
      </c>
      <c r="Q1069" s="87">
        <f t="shared" si="222"/>
        <v>2570</v>
      </c>
      <c r="R1069" s="13">
        <f t="shared" si="231"/>
        <v>0</v>
      </c>
      <c r="S1069" s="87">
        <f t="shared" si="220"/>
        <v>2570</v>
      </c>
    </row>
    <row r="1070" spans="1:19" ht="33">
      <c r="A1070" s="62" t="str">
        <f ca="1">IF(ISERROR(MATCH(F1070,Код_КВР,0)),"",INDIRECT(ADDRESS(MATCH(F1070,Код_КВР,0)+1,2,,,"КВР")))</f>
        <v>Предоставление субсидий бюджетным, автономным учреждениям и иным некоммерческим организациям</v>
      </c>
      <c r="B1070" s="115">
        <v>808</v>
      </c>
      <c r="C1070" s="8" t="s">
        <v>230</v>
      </c>
      <c r="D1070" s="8" t="s">
        <v>224</v>
      </c>
      <c r="E1070" s="115" t="s">
        <v>518</v>
      </c>
      <c r="F1070" s="115">
        <v>600</v>
      </c>
      <c r="G1070" s="70">
        <f t="shared" si="231"/>
        <v>2570</v>
      </c>
      <c r="H1070" s="70">
        <f t="shared" si="231"/>
        <v>0</v>
      </c>
      <c r="I1070" s="70">
        <f t="shared" si="215"/>
        <v>2570</v>
      </c>
      <c r="J1070" s="70">
        <f t="shared" si="231"/>
        <v>0</v>
      </c>
      <c r="K1070" s="87">
        <f t="shared" si="228"/>
        <v>2570</v>
      </c>
      <c r="L1070" s="13">
        <f t="shared" si="231"/>
        <v>0</v>
      </c>
      <c r="M1070" s="87">
        <f t="shared" si="229"/>
        <v>2570</v>
      </c>
      <c r="N1070" s="13">
        <f t="shared" si="231"/>
        <v>0</v>
      </c>
      <c r="O1070" s="87">
        <f t="shared" si="230"/>
        <v>2570</v>
      </c>
      <c r="P1070" s="13">
        <f t="shared" si="231"/>
        <v>0</v>
      </c>
      <c r="Q1070" s="87">
        <f t="shared" si="222"/>
        <v>2570</v>
      </c>
      <c r="R1070" s="13">
        <f t="shared" si="231"/>
        <v>0</v>
      </c>
      <c r="S1070" s="87">
        <f t="shared" si="220"/>
        <v>2570</v>
      </c>
    </row>
    <row r="1071" spans="1:19" ht="12.75">
      <c r="A1071" s="62" t="str">
        <f ca="1">IF(ISERROR(MATCH(F1071,Код_КВР,0)),"",INDIRECT(ADDRESS(MATCH(F1071,Код_КВР,0)+1,2,,,"КВР")))</f>
        <v>Субсидии бюджетным учреждениям</v>
      </c>
      <c r="B1071" s="115">
        <v>808</v>
      </c>
      <c r="C1071" s="8" t="s">
        <v>230</v>
      </c>
      <c r="D1071" s="8" t="s">
        <v>224</v>
      </c>
      <c r="E1071" s="115" t="s">
        <v>518</v>
      </c>
      <c r="F1071" s="115">
        <v>610</v>
      </c>
      <c r="G1071" s="70">
        <f t="shared" si="231"/>
        <v>2570</v>
      </c>
      <c r="H1071" s="70">
        <f t="shared" si="231"/>
        <v>0</v>
      </c>
      <c r="I1071" s="70">
        <f t="shared" si="215"/>
        <v>2570</v>
      </c>
      <c r="J1071" s="70">
        <f t="shared" si="231"/>
        <v>0</v>
      </c>
      <c r="K1071" s="87">
        <f t="shared" si="228"/>
        <v>2570</v>
      </c>
      <c r="L1071" s="13">
        <f t="shared" si="231"/>
        <v>0</v>
      </c>
      <c r="M1071" s="87">
        <f t="shared" si="229"/>
        <v>2570</v>
      </c>
      <c r="N1071" s="13">
        <f t="shared" si="231"/>
        <v>0</v>
      </c>
      <c r="O1071" s="87">
        <f t="shared" si="230"/>
        <v>2570</v>
      </c>
      <c r="P1071" s="13">
        <f t="shared" si="231"/>
        <v>0</v>
      </c>
      <c r="Q1071" s="87">
        <f t="shared" si="222"/>
        <v>2570</v>
      </c>
      <c r="R1071" s="13">
        <f t="shared" si="231"/>
        <v>0</v>
      </c>
      <c r="S1071" s="87">
        <f t="shared" si="220"/>
        <v>2570</v>
      </c>
    </row>
    <row r="1072" spans="1:19" ht="12.75">
      <c r="A1072" s="62" t="str">
        <f ca="1">IF(ISERROR(MATCH(F1072,Код_КВР,0)),"",INDIRECT(ADDRESS(MATCH(F1072,Код_КВР,0)+1,2,,,"КВР")))</f>
        <v>Субсидии бюджетным учреждениям на иные цели</v>
      </c>
      <c r="B1072" s="115">
        <v>808</v>
      </c>
      <c r="C1072" s="8" t="s">
        <v>230</v>
      </c>
      <c r="D1072" s="8" t="s">
        <v>224</v>
      </c>
      <c r="E1072" s="115" t="s">
        <v>518</v>
      </c>
      <c r="F1072" s="115">
        <v>612</v>
      </c>
      <c r="G1072" s="70">
        <v>2570</v>
      </c>
      <c r="H1072" s="70"/>
      <c r="I1072" s="70">
        <f t="shared" si="215"/>
        <v>2570</v>
      </c>
      <c r="J1072" s="70"/>
      <c r="K1072" s="87">
        <f t="shared" si="228"/>
        <v>2570</v>
      </c>
      <c r="L1072" s="13"/>
      <c r="M1072" s="87">
        <f t="shared" si="229"/>
        <v>2570</v>
      </c>
      <c r="N1072" s="13"/>
      <c r="O1072" s="87">
        <f t="shared" si="230"/>
        <v>2570</v>
      </c>
      <c r="P1072" s="13"/>
      <c r="Q1072" s="87">
        <f t="shared" si="222"/>
        <v>2570</v>
      </c>
      <c r="R1072" s="13"/>
      <c r="S1072" s="87">
        <f t="shared" si="220"/>
        <v>2570</v>
      </c>
    </row>
    <row r="1073" spans="1:19" ht="82.5">
      <c r="A1073" s="62" t="str">
        <f ca="1">IF(ISERROR(MATCH(E1073,Код_КЦСР,0)),"",INDIRECT(ADDRESS(MATCH(E1073,Код_КЦСР,0)+1,2,,,"КЦСР")))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1073" s="115">
        <v>808</v>
      </c>
      <c r="C1073" s="8" t="s">
        <v>230</v>
      </c>
      <c r="D1073" s="8" t="s">
        <v>224</v>
      </c>
      <c r="E1073" s="115" t="s">
        <v>519</v>
      </c>
      <c r="F1073" s="115"/>
      <c r="G1073" s="70">
        <f aca="true" t="shared" si="232" ref="G1073:R1075">G1074</f>
        <v>160</v>
      </c>
      <c r="H1073" s="70">
        <f t="shared" si="232"/>
        <v>0</v>
      </c>
      <c r="I1073" s="70">
        <f t="shared" si="215"/>
        <v>160</v>
      </c>
      <c r="J1073" s="70">
        <f t="shared" si="232"/>
        <v>0</v>
      </c>
      <c r="K1073" s="87">
        <f t="shared" si="228"/>
        <v>160</v>
      </c>
      <c r="L1073" s="13">
        <f t="shared" si="232"/>
        <v>0</v>
      </c>
      <c r="M1073" s="87">
        <f t="shared" si="229"/>
        <v>160</v>
      </c>
      <c r="N1073" s="13">
        <f t="shared" si="232"/>
        <v>0</v>
      </c>
      <c r="O1073" s="87">
        <f t="shared" si="230"/>
        <v>160</v>
      </c>
      <c r="P1073" s="13">
        <f t="shared" si="232"/>
        <v>0</v>
      </c>
      <c r="Q1073" s="87">
        <f t="shared" si="222"/>
        <v>160</v>
      </c>
      <c r="R1073" s="13">
        <f t="shared" si="232"/>
        <v>0</v>
      </c>
      <c r="S1073" s="87">
        <f t="shared" si="220"/>
        <v>160</v>
      </c>
    </row>
    <row r="1074" spans="1:19" ht="33">
      <c r="A1074" s="62" t="str">
        <f ca="1">IF(ISERROR(MATCH(F1074,Код_КВР,0)),"",INDIRECT(ADDRESS(MATCH(F1074,Код_КВР,0)+1,2,,,"КВР")))</f>
        <v>Предоставление субсидий бюджетным, автономным учреждениям и иным некоммерческим организациям</v>
      </c>
      <c r="B1074" s="115">
        <v>808</v>
      </c>
      <c r="C1074" s="8" t="s">
        <v>230</v>
      </c>
      <c r="D1074" s="8" t="s">
        <v>224</v>
      </c>
      <c r="E1074" s="115" t="s">
        <v>519</v>
      </c>
      <c r="F1074" s="115">
        <v>600</v>
      </c>
      <c r="G1074" s="70">
        <f t="shared" si="232"/>
        <v>160</v>
      </c>
      <c r="H1074" s="70">
        <f t="shared" si="232"/>
        <v>0</v>
      </c>
      <c r="I1074" s="70">
        <f aca="true" t="shared" si="233" ref="I1074:I1141">G1074+H1074</f>
        <v>160</v>
      </c>
      <c r="J1074" s="70">
        <f t="shared" si="232"/>
        <v>0</v>
      </c>
      <c r="K1074" s="87">
        <f t="shared" si="228"/>
        <v>160</v>
      </c>
      <c r="L1074" s="13">
        <f t="shared" si="232"/>
        <v>0</v>
      </c>
      <c r="M1074" s="87">
        <f t="shared" si="229"/>
        <v>160</v>
      </c>
      <c r="N1074" s="13">
        <f t="shared" si="232"/>
        <v>0</v>
      </c>
      <c r="O1074" s="87">
        <f t="shared" si="230"/>
        <v>160</v>
      </c>
      <c r="P1074" s="13">
        <f t="shared" si="232"/>
        <v>0</v>
      </c>
      <c r="Q1074" s="87">
        <f t="shared" si="222"/>
        <v>160</v>
      </c>
      <c r="R1074" s="13">
        <f t="shared" si="232"/>
        <v>0</v>
      </c>
      <c r="S1074" s="87">
        <f t="shared" si="220"/>
        <v>160</v>
      </c>
    </row>
    <row r="1075" spans="1:19" ht="12.75">
      <c r="A1075" s="62" t="str">
        <f ca="1">IF(ISERROR(MATCH(F1075,Код_КВР,0)),"",INDIRECT(ADDRESS(MATCH(F1075,Код_КВР,0)+1,2,,,"КВР")))</f>
        <v>Субсидии бюджетным учреждениям</v>
      </c>
      <c r="B1075" s="115">
        <v>808</v>
      </c>
      <c r="C1075" s="8" t="s">
        <v>230</v>
      </c>
      <c r="D1075" s="8" t="s">
        <v>224</v>
      </c>
      <c r="E1075" s="115" t="s">
        <v>519</v>
      </c>
      <c r="F1075" s="115">
        <v>610</v>
      </c>
      <c r="G1075" s="70">
        <f t="shared" si="232"/>
        <v>160</v>
      </c>
      <c r="H1075" s="70">
        <f t="shared" si="232"/>
        <v>0</v>
      </c>
      <c r="I1075" s="70">
        <f t="shared" si="233"/>
        <v>160</v>
      </c>
      <c r="J1075" s="70">
        <f t="shared" si="232"/>
        <v>0</v>
      </c>
      <c r="K1075" s="87">
        <f t="shared" si="228"/>
        <v>160</v>
      </c>
      <c r="L1075" s="13">
        <f t="shared" si="232"/>
        <v>0</v>
      </c>
      <c r="M1075" s="87">
        <f t="shared" si="229"/>
        <v>160</v>
      </c>
      <c r="N1075" s="13">
        <f t="shared" si="232"/>
        <v>0</v>
      </c>
      <c r="O1075" s="87">
        <f t="shared" si="230"/>
        <v>160</v>
      </c>
      <c r="P1075" s="13">
        <f t="shared" si="232"/>
        <v>0</v>
      </c>
      <c r="Q1075" s="87">
        <f t="shared" si="222"/>
        <v>160</v>
      </c>
      <c r="R1075" s="13">
        <f t="shared" si="232"/>
        <v>0</v>
      </c>
      <c r="S1075" s="87">
        <f t="shared" si="220"/>
        <v>160</v>
      </c>
    </row>
    <row r="1076" spans="1:19" ht="12.75">
      <c r="A1076" s="62" t="str">
        <f ca="1">IF(ISERROR(MATCH(F1076,Код_КВР,0)),"",INDIRECT(ADDRESS(MATCH(F1076,Код_КВР,0)+1,2,,,"КВР")))</f>
        <v>Субсидии бюджетным учреждениям на иные цели</v>
      </c>
      <c r="B1076" s="115">
        <v>808</v>
      </c>
      <c r="C1076" s="8" t="s">
        <v>230</v>
      </c>
      <c r="D1076" s="8" t="s">
        <v>224</v>
      </c>
      <c r="E1076" s="115" t="s">
        <v>519</v>
      </c>
      <c r="F1076" s="115">
        <v>612</v>
      </c>
      <c r="G1076" s="70">
        <v>160</v>
      </c>
      <c r="H1076" s="70"/>
      <c r="I1076" s="70">
        <f t="shared" si="233"/>
        <v>160</v>
      </c>
      <c r="J1076" s="70"/>
      <c r="K1076" s="87">
        <f t="shared" si="228"/>
        <v>160</v>
      </c>
      <c r="L1076" s="13"/>
      <c r="M1076" s="87">
        <f t="shared" si="229"/>
        <v>160</v>
      </c>
      <c r="N1076" s="13"/>
      <c r="O1076" s="87">
        <f t="shared" si="230"/>
        <v>160</v>
      </c>
      <c r="P1076" s="13"/>
      <c r="Q1076" s="87">
        <f t="shared" si="222"/>
        <v>160</v>
      </c>
      <c r="R1076" s="13"/>
      <c r="S1076" s="87">
        <f t="shared" si="220"/>
        <v>160</v>
      </c>
    </row>
    <row r="1077" spans="1:19" ht="33">
      <c r="A1077" s="62" t="str">
        <f ca="1">IF(ISERROR(MATCH(E1077,Код_КЦСР,0)),"",INDIRECT(ADDRESS(MATCH(E1077,Код_КЦСР,0)+1,2,,,"КЦСР")))</f>
        <v>Работа по организации и ведению бухгалтерского (бюджетного) учета и отчетности</v>
      </c>
      <c r="B1077" s="115">
        <v>808</v>
      </c>
      <c r="C1077" s="8" t="s">
        <v>230</v>
      </c>
      <c r="D1077" s="8" t="s">
        <v>224</v>
      </c>
      <c r="E1077" s="115" t="s">
        <v>530</v>
      </c>
      <c r="F1077" s="115"/>
      <c r="G1077" s="70">
        <f aca="true" t="shared" si="234" ref="G1077:R1079">G1078</f>
        <v>7747.3</v>
      </c>
      <c r="H1077" s="70">
        <f t="shared" si="234"/>
        <v>0</v>
      </c>
      <c r="I1077" s="70">
        <f t="shared" si="233"/>
        <v>7747.3</v>
      </c>
      <c r="J1077" s="70">
        <f t="shared" si="234"/>
        <v>0</v>
      </c>
      <c r="K1077" s="87">
        <f t="shared" si="228"/>
        <v>7747.3</v>
      </c>
      <c r="L1077" s="13">
        <f t="shared" si="234"/>
        <v>-1.8</v>
      </c>
      <c r="M1077" s="87">
        <f t="shared" si="229"/>
        <v>7745.5</v>
      </c>
      <c r="N1077" s="13">
        <f t="shared" si="234"/>
        <v>0</v>
      </c>
      <c r="O1077" s="87">
        <f t="shared" si="230"/>
        <v>7745.5</v>
      </c>
      <c r="P1077" s="13">
        <f t="shared" si="234"/>
        <v>0</v>
      </c>
      <c r="Q1077" s="87">
        <f t="shared" si="222"/>
        <v>7745.5</v>
      </c>
      <c r="R1077" s="13">
        <f t="shared" si="234"/>
        <v>0</v>
      </c>
      <c r="S1077" s="87">
        <f t="shared" si="220"/>
        <v>7745.5</v>
      </c>
    </row>
    <row r="1078" spans="1:19" ht="33">
      <c r="A1078" s="62" t="str">
        <f ca="1">IF(ISERROR(MATCH(F1078,Код_КВР,0)),"",INDIRECT(ADDRESS(MATCH(F1078,Код_КВР,0)+1,2,,,"КВР")))</f>
        <v>Предоставление субсидий бюджетным, автономным учреждениям и иным некоммерческим организациям</v>
      </c>
      <c r="B1078" s="115">
        <v>808</v>
      </c>
      <c r="C1078" s="8" t="s">
        <v>230</v>
      </c>
      <c r="D1078" s="8" t="s">
        <v>224</v>
      </c>
      <c r="E1078" s="115" t="s">
        <v>530</v>
      </c>
      <c r="F1078" s="115">
        <v>600</v>
      </c>
      <c r="G1078" s="70">
        <f t="shared" si="234"/>
        <v>7747.3</v>
      </c>
      <c r="H1078" s="70">
        <f t="shared" si="234"/>
        <v>0</v>
      </c>
      <c r="I1078" s="70">
        <f t="shared" si="233"/>
        <v>7747.3</v>
      </c>
      <c r="J1078" s="70">
        <f t="shared" si="234"/>
        <v>0</v>
      </c>
      <c r="K1078" s="87">
        <f t="shared" si="228"/>
        <v>7747.3</v>
      </c>
      <c r="L1078" s="13">
        <f t="shared" si="234"/>
        <v>-1.8</v>
      </c>
      <c r="M1078" s="87">
        <f t="shared" si="229"/>
        <v>7745.5</v>
      </c>
      <c r="N1078" s="13">
        <f t="shared" si="234"/>
        <v>0</v>
      </c>
      <c r="O1078" s="87">
        <f t="shared" si="230"/>
        <v>7745.5</v>
      </c>
      <c r="P1078" s="13">
        <f t="shared" si="234"/>
        <v>0</v>
      </c>
      <c r="Q1078" s="87">
        <f t="shared" si="222"/>
        <v>7745.5</v>
      </c>
      <c r="R1078" s="13">
        <f t="shared" si="234"/>
        <v>0</v>
      </c>
      <c r="S1078" s="87">
        <f t="shared" si="220"/>
        <v>7745.5</v>
      </c>
    </row>
    <row r="1079" spans="1:19" ht="12.75">
      <c r="A1079" s="62" t="str">
        <f ca="1">IF(ISERROR(MATCH(F1079,Код_КВР,0)),"",INDIRECT(ADDRESS(MATCH(F1079,Код_КВР,0)+1,2,,,"КВР")))</f>
        <v>Субсидии бюджетным учреждениям</v>
      </c>
      <c r="B1079" s="115">
        <v>808</v>
      </c>
      <c r="C1079" s="8" t="s">
        <v>230</v>
      </c>
      <c r="D1079" s="8" t="s">
        <v>224</v>
      </c>
      <c r="E1079" s="115" t="s">
        <v>530</v>
      </c>
      <c r="F1079" s="115">
        <v>610</v>
      </c>
      <c r="G1079" s="70">
        <f t="shared" si="234"/>
        <v>7747.3</v>
      </c>
      <c r="H1079" s="70">
        <f t="shared" si="234"/>
        <v>0</v>
      </c>
      <c r="I1079" s="70">
        <f t="shared" si="233"/>
        <v>7747.3</v>
      </c>
      <c r="J1079" s="70">
        <f t="shared" si="234"/>
        <v>0</v>
      </c>
      <c r="K1079" s="87">
        <f t="shared" si="228"/>
        <v>7747.3</v>
      </c>
      <c r="L1079" s="13">
        <f t="shared" si="234"/>
        <v>-1.8</v>
      </c>
      <c r="M1079" s="87">
        <f t="shared" si="229"/>
        <v>7745.5</v>
      </c>
      <c r="N1079" s="13">
        <f t="shared" si="234"/>
        <v>0</v>
      </c>
      <c r="O1079" s="87">
        <f t="shared" si="230"/>
        <v>7745.5</v>
      </c>
      <c r="P1079" s="13">
        <f t="shared" si="234"/>
        <v>0</v>
      </c>
      <c r="Q1079" s="87">
        <f t="shared" si="222"/>
        <v>7745.5</v>
      </c>
      <c r="R1079" s="13">
        <f t="shared" si="234"/>
        <v>0</v>
      </c>
      <c r="S1079" s="87">
        <f t="shared" si="220"/>
        <v>7745.5</v>
      </c>
    </row>
    <row r="1080" spans="1:19" ht="49.5">
      <c r="A1080" s="62" t="str">
        <f ca="1">IF(ISERROR(MATCH(F1080,Код_КВР,0)),"",INDIRECT(ADDRESS(MATCH(F1080,Код_КВР,0)+1,2,,,"КВР")))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80" s="115">
        <v>808</v>
      </c>
      <c r="C1080" s="8" t="s">
        <v>230</v>
      </c>
      <c r="D1080" s="8" t="s">
        <v>224</v>
      </c>
      <c r="E1080" s="115" t="s">
        <v>530</v>
      </c>
      <c r="F1080" s="115">
        <v>611</v>
      </c>
      <c r="G1080" s="70">
        <v>7747.3</v>
      </c>
      <c r="H1080" s="70"/>
      <c r="I1080" s="70">
        <f t="shared" si="233"/>
        <v>7747.3</v>
      </c>
      <c r="J1080" s="70"/>
      <c r="K1080" s="87">
        <f t="shared" si="228"/>
        <v>7747.3</v>
      </c>
      <c r="L1080" s="13">
        <v>-1.8</v>
      </c>
      <c r="M1080" s="87">
        <f t="shared" si="229"/>
        <v>7745.5</v>
      </c>
      <c r="N1080" s="13"/>
      <c r="O1080" s="87">
        <f t="shared" si="230"/>
        <v>7745.5</v>
      </c>
      <c r="P1080" s="13"/>
      <c r="Q1080" s="87">
        <f t="shared" si="222"/>
        <v>7745.5</v>
      </c>
      <c r="R1080" s="13"/>
      <c r="S1080" s="87">
        <f t="shared" si="220"/>
        <v>7745.5</v>
      </c>
    </row>
    <row r="1081" spans="1:19" ht="33">
      <c r="A1081" s="62" t="str">
        <f ca="1">IF(ISERROR(MATCH(E1081,Код_КЦСР,0)),"",INDIRECT(ADDRESS(MATCH(E1081,Код_КЦСР,0)+1,2,,,"КЦСР")))</f>
        <v>Муниципальная программа «Охрана окружающей среды» на 2013-2022 годы</v>
      </c>
      <c r="B1081" s="115">
        <v>808</v>
      </c>
      <c r="C1081" s="8" t="s">
        <v>230</v>
      </c>
      <c r="D1081" s="8" t="s">
        <v>224</v>
      </c>
      <c r="E1081" s="115" t="s">
        <v>547</v>
      </c>
      <c r="F1081" s="115"/>
      <c r="G1081" s="70">
        <f aca="true" t="shared" si="235" ref="G1081:R1084">G1082</f>
        <v>10</v>
      </c>
      <c r="H1081" s="70">
        <f t="shared" si="235"/>
        <v>0</v>
      </c>
      <c r="I1081" s="70">
        <f t="shared" si="233"/>
        <v>10</v>
      </c>
      <c r="J1081" s="70">
        <f t="shared" si="235"/>
        <v>0</v>
      </c>
      <c r="K1081" s="87">
        <f t="shared" si="228"/>
        <v>10</v>
      </c>
      <c r="L1081" s="13">
        <f t="shared" si="235"/>
        <v>0</v>
      </c>
      <c r="M1081" s="87">
        <f t="shared" si="229"/>
        <v>10</v>
      </c>
      <c r="N1081" s="13">
        <f t="shared" si="235"/>
        <v>0</v>
      </c>
      <c r="O1081" s="87">
        <f t="shared" si="230"/>
        <v>10</v>
      </c>
      <c r="P1081" s="13">
        <f t="shared" si="235"/>
        <v>0</v>
      </c>
      <c r="Q1081" s="87">
        <f t="shared" si="222"/>
        <v>10</v>
      </c>
      <c r="R1081" s="13">
        <f t="shared" si="235"/>
        <v>0</v>
      </c>
      <c r="S1081" s="87">
        <f t="shared" si="220"/>
        <v>10</v>
      </c>
    </row>
    <row r="1082" spans="1:19" ht="33">
      <c r="A1082" s="62" t="str">
        <f ca="1">IF(ISERROR(MATCH(E1082,Код_КЦСР,0)),"",INDIRECT(ADDRESS(MATCH(E1082,Код_КЦСР,0)+1,2,,,"КЦСР")))</f>
        <v>Организация мероприятий по экологическому образованию и воспитанию населения</v>
      </c>
      <c r="B1082" s="115">
        <v>808</v>
      </c>
      <c r="C1082" s="8" t="s">
        <v>230</v>
      </c>
      <c r="D1082" s="8" t="s">
        <v>224</v>
      </c>
      <c r="E1082" s="115" t="s">
        <v>551</v>
      </c>
      <c r="F1082" s="115"/>
      <c r="G1082" s="70">
        <f t="shared" si="235"/>
        <v>10</v>
      </c>
      <c r="H1082" s="70">
        <f t="shared" si="235"/>
        <v>0</v>
      </c>
      <c r="I1082" s="70">
        <f t="shared" si="233"/>
        <v>10</v>
      </c>
      <c r="J1082" s="70">
        <f t="shared" si="235"/>
        <v>0</v>
      </c>
      <c r="K1082" s="87">
        <f t="shared" si="228"/>
        <v>10</v>
      </c>
      <c r="L1082" s="13">
        <f t="shared" si="235"/>
        <v>0</v>
      </c>
      <c r="M1082" s="87">
        <f t="shared" si="229"/>
        <v>10</v>
      </c>
      <c r="N1082" s="13">
        <f t="shared" si="235"/>
        <v>0</v>
      </c>
      <c r="O1082" s="87">
        <f t="shared" si="230"/>
        <v>10</v>
      </c>
      <c r="P1082" s="13">
        <f t="shared" si="235"/>
        <v>0</v>
      </c>
      <c r="Q1082" s="87">
        <f t="shared" si="222"/>
        <v>10</v>
      </c>
      <c r="R1082" s="13">
        <f t="shared" si="235"/>
        <v>0</v>
      </c>
      <c r="S1082" s="87">
        <f t="shared" si="220"/>
        <v>10</v>
      </c>
    </row>
    <row r="1083" spans="1:19" ht="33">
      <c r="A1083" s="62" t="str">
        <f ca="1">IF(ISERROR(MATCH(F1083,Код_КВР,0)),"",INDIRECT(ADDRESS(MATCH(F1083,Код_КВР,0)+1,2,,,"КВР")))</f>
        <v>Предоставление субсидий бюджетным, автономным учреждениям и иным некоммерческим организациям</v>
      </c>
      <c r="B1083" s="115">
        <v>808</v>
      </c>
      <c r="C1083" s="8" t="s">
        <v>230</v>
      </c>
      <c r="D1083" s="8" t="s">
        <v>224</v>
      </c>
      <c r="E1083" s="115" t="s">
        <v>551</v>
      </c>
      <c r="F1083" s="115">
        <v>600</v>
      </c>
      <c r="G1083" s="70">
        <f t="shared" si="235"/>
        <v>10</v>
      </c>
      <c r="H1083" s="70">
        <f t="shared" si="235"/>
        <v>0</v>
      </c>
      <c r="I1083" s="70">
        <f t="shared" si="233"/>
        <v>10</v>
      </c>
      <c r="J1083" s="70">
        <f t="shared" si="235"/>
        <v>0</v>
      </c>
      <c r="K1083" s="87">
        <f t="shared" si="228"/>
        <v>10</v>
      </c>
      <c r="L1083" s="13">
        <f t="shared" si="235"/>
        <v>0</v>
      </c>
      <c r="M1083" s="87">
        <f t="shared" si="229"/>
        <v>10</v>
      </c>
      <c r="N1083" s="13">
        <f t="shared" si="235"/>
        <v>0</v>
      </c>
      <c r="O1083" s="87">
        <f t="shared" si="230"/>
        <v>10</v>
      </c>
      <c r="P1083" s="13">
        <f t="shared" si="235"/>
        <v>0</v>
      </c>
      <c r="Q1083" s="87">
        <f t="shared" si="222"/>
        <v>10</v>
      </c>
      <c r="R1083" s="13">
        <f t="shared" si="235"/>
        <v>0</v>
      </c>
      <c r="S1083" s="87">
        <f t="shared" si="220"/>
        <v>10</v>
      </c>
    </row>
    <row r="1084" spans="1:19" ht="12.75">
      <c r="A1084" s="62" t="str">
        <f ca="1">IF(ISERROR(MATCH(F1084,Код_КВР,0)),"",INDIRECT(ADDRESS(MATCH(F1084,Код_КВР,0)+1,2,,,"КВР")))</f>
        <v>Субсидии бюджетным учреждениям</v>
      </c>
      <c r="B1084" s="115">
        <v>808</v>
      </c>
      <c r="C1084" s="8" t="s">
        <v>230</v>
      </c>
      <c r="D1084" s="8" t="s">
        <v>224</v>
      </c>
      <c r="E1084" s="115" t="s">
        <v>551</v>
      </c>
      <c r="F1084" s="115">
        <v>610</v>
      </c>
      <c r="G1084" s="70">
        <f t="shared" si="235"/>
        <v>10</v>
      </c>
      <c r="H1084" s="70">
        <f t="shared" si="235"/>
        <v>0</v>
      </c>
      <c r="I1084" s="70">
        <f t="shared" si="233"/>
        <v>10</v>
      </c>
      <c r="J1084" s="70">
        <f t="shared" si="235"/>
        <v>0</v>
      </c>
      <c r="K1084" s="87">
        <f t="shared" si="228"/>
        <v>10</v>
      </c>
      <c r="L1084" s="13">
        <f t="shared" si="235"/>
        <v>0</v>
      </c>
      <c r="M1084" s="87">
        <f t="shared" si="229"/>
        <v>10</v>
      </c>
      <c r="N1084" s="13">
        <f t="shared" si="235"/>
        <v>0</v>
      </c>
      <c r="O1084" s="87">
        <f t="shared" si="230"/>
        <v>10</v>
      </c>
      <c r="P1084" s="13">
        <f t="shared" si="235"/>
        <v>0</v>
      </c>
      <c r="Q1084" s="87">
        <f t="shared" si="222"/>
        <v>10</v>
      </c>
      <c r="R1084" s="13">
        <f t="shared" si="235"/>
        <v>0</v>
      </c>
      <c r="S1084" s="87">
        <f t="shared" si="220"/>
        <v>10</v>
      </c>
    </row>
    <row r="1085" spans="1:19" ht="12.75">
      <c r="A1085" s="62" t="str">
        <f ca="1">IF(ISERROR(MATCH(F1085,Код_КВР,0)),"",INDIRECT(ADDRESS(MATCH(F1085,Код_КВР,0)+1,2,,,"КВР")))</f>
        <v>Субсидии бюджетным учреждениям на иные цели</v>
      </c>
      <c r="B1085" s="115">
        <v>808</v>
      </c>
      <c r="C1085" s="8" t="s">
        <v>230</v>
      </c>
      <c r="D1085" s="8" t="s">
        <v>224</v>
      </c>
      <c r="E1085" s="115" t="s">
        <v>551</v>
      </c>
      <c r="F1085" s="115">
        <v>612</v>
      </c>
      <c r="G1085" s="70">
        <v>10</v>
      </c>
      <c r="H1085" s="70"/>
      <c r="I1085" s="70">
        <f t="shared" si="233"/>
        <v>10</v>
      </c>
      <c r="J1085" s="70"/>
      <c r="K1085" s="87">
        <f t="shared" si="228"/>
        <v>10</v>
      </c>
      <c r="L1085" s="13"/>
      <c r="M1085" s="87">
        <f t="shared" si="229"/>
        <v>10</v>
      </c>
      <c r="N1085" s="13"/>
      <c r="O1085" s="87">
        <f t="shared" si="230"/>
        <v>10</v>
      </c>
      <c r="P1085" s="13"/>
      <c r="Q1085" s="87">
        <f t="shared" si="222"/>
        <v>10</v>
      </c>
      <c r="R1085" s="13"/>
      <c r="S1085" s="87">
        <f t="shared" si="220"/>
        <v>10</v>
      </c>
    </row>
    <row r="1086" spans="1:19" ht="12.75" hidden="1">
      <c r="A1086" s="62" t="str">
        <f ca="1">IF(ISERROR(MATCH(E1086,Код_КЦСР,0)),"",INDIRECT(ADDRESS(MATCH(E1086,Код_КЦСР,0)+1,2,,,"КЦСР")))</f>
        <v>Муниципальная программа «Здоровый город» на 2014-2022 годы</v>
      </c>
      <c r="B1086" s="115">
        <v>808</v>
      </c>
      <c r="C1086" s="8" t="s">
        <v>230</v>
      </c>
      <c r="D1086" s="8" t="s">
        <v>224</v>
      </c>
      <c r="E1086" s="115" t="s">
        <v>579</v>
      </c>
      <c r="F1086" s="115"/>
      <c r="G1086" s="70">
        <f>G1087+G1091+G1095+G1099</f>
        <v>0</v>
      </c>
      <c r="H1086" s="70">
        <f>H1087+H1091+H1095+H1099</f>
        <v>0</v>
      </c>
      <c r="I1086" s="70">
        <f t="shared" si="233"/>
        <v>0</v>
      </c>
      <c r="J1086" s="70">
        <f>J1087+J1091+J1095+J1099</f>
        <v>0</v>
      </c>
      <c r="K1086" s="87">
        <f t="shared" si="228"/>
        <v>0</v>
      </c>
      <c r="L1086" s="13">
        <f>L1087+L1091+L1095+L1099</f>
        <v>0</v>
      </c>
      <c r="M1086" s="87">
        <f t="shared" si="229"/>
        <v>0</v>
      </c>
      <c r="N1086" s="13">
        <f>N1087+N1091+N1095+N1099</f>
        <v>0</v>
      </c>
      <c r="O1086" s="87">
        <f t="shared" si="230"/>
        <v>0</v>
      </c>
      <c r="P1086" s="13">
        <f>P1087+P1091+P1095+P1099</f>
        <v>0</v>
      </c>
      <c r="Q1086" s="87">
        <f t="shared" si="222"/>
        <v>0</v>
      </c>
      <c r="R1086" s="13">
        <f>R1087+R1091+R1095+R1099</f>
        <v>0</v>
      </c>
      <c r="S1086" s="87">
        <f t="shared" si="220"/>
        <v>0</v>
      </c>
    </row>
    <row r="1087" spans="1:19" ht="12.75" hidden="1">
      <c r="A1087" s="62" t="str">
        <f ca="1">IF(ISERROR(MATCH(E1087,Код_КЦСР,0)),"",INDIRECT(ADDRESS(MATCH(E1087,Код_КЦСР,0)+1,2,,,"КЦСР")))</f>
        <v>Сохранение и укрепление здоровья детей и подростков</v>
      </c>
      <c r="B1087" s="115">
        <v>808</v>
      </c>
      <c r="C1087" s="8" t="s">
        <v>230</v>
      </c>
      <c r="D1087" s="8" t="s">
        <v>224</v>
      </c>
      <c r="E1087" s="115" t="s">
        <v>582</v>
      </c>
      <c r="F1087" s="115"/>
      <c r="G1087" s="70">
        <f aca="true" t="shared" si="236" ref="G1087:R1089">G1088</f>
        <v>0</v>
      </c>
      <c r="H1087" s="70">
        <f t="shared" si="236"/>
        <v>0</v>
      </c>
      <c r="I1087" s="70">
        <f t="shared" si="233"/>
        <v>0</v>
      </c>
      <c r="J1087" s="70">
        <f t="shared" si="236"/>
        <v>0</v>
      </c>
      <c r="K1087" s="87">
        <f t="shared" si="228"/>
        <v>0</v>
      </c>
      <c r="L1087" s="13">
        <f t="shared" si="236"/>
        <v>0</v>
      </c>
      <c r="M1087" s="87">
        <f t="shared" si="229"/>
        <v>0</v>
      </c>
      <c r="N1087" s="13">
        <f t="shared" si="236"/>
        <v>0</v>
      </c>
      <c r="O1087" s="87">
        <f t="shared" si="230"/>
        <v>0</v>
      </c>
      <c r="P1087" s="13">
        <f t="shared" si="236"/>
        <v>0</v>
      </c>
      <c r="Q1087" s="87">
        <f t="shared" si="222"/>
        <v>0</v>
      </c>
      <c r="R1087" s="13">
        <f t="shared" si="236"/>
        <v>0</v>
      </c>
      <c r="S1087" s="87">
        <f t="shared" si="220"/>
        <v>0</v>
      </c>
    </row>
    <row r="1088" spans="1:19" ht="33" hidden="1">
      <c r="A1088" s="62" t="str">
        <f ca="1">IF(ISERROR(MATCH(F1088,Код_КВР,0)),"",INDIRECT(ADDRESS(MATCH(F1088,Код_КВР,0)+1,2,,,"КВР")))</f>
        <v>Предоставление субсидий бюджетным, автономным учреждениям и иным некоммерческим организациям</v>
      </c>
      <c r="B1088" s="115">
        <v>808</v>
      </c>
      <c r="C1088" s="8" t="s">
        <v>230</v>
      </c>
      <c r="D1088" s="8" t="s">
        <v>224</v>
      </c>
      <c r="E1088" s="115" t="s">
        <v>582</v>
      </c>
      <c r="F1088" s="115">
        <v>600</v>
      </c>
      <c r="G1088" s="70">
        <f t="shared" si="236"/>
        <v>0</v>
      </c>
      <c r="H1088" s="70">
        <f t="shared" si="236"/>
        <v>0</v>
      </c>
      <c r="I1088" s="70">
        <f t="shared" si="233"/>
        <v>0</v>
      </c>
      <c r="J1088" s="70">
        <f t="shared" si="236"/>
        <v>0</v>
      </c>
      <c r="K1088" s="87">
        <f t="shared" si="228"/>
        <v>0</v>
      </c>
      <c r="L1088" s="13">
        <f t="shared" si="236"/>
        <v>0</v>
      </c>
      <c r="M1088" s="87">
        <f t="shared" si="229"/>
        <v>0</v>
      </c>
      <c r="N1088" s="13">
        <f t="shared" si="236"/>
        <v>0</v>
      </c>
      <c r="O1088" s="87">
        <f t="shared" si="230"/>
        <v>0</v>
      </c>
      <c r="P1088" s="13">
        <f t="shared" si="236"/>
        <v>0</v>
      </c>
      <c r="Q1088" s="87">
        <f t="shared" si="222"/>
        <v>0</v>
      </c>
      <c r="R1088" s="13">
        <f t="shared" si="236"/>
        <v>0</v>
      </c>
      <c r="S1088" s="87">
        <f t="shared" si="220"/>
        <v>0</v>
      </c>
    </row>
    <row r="1089" spans="1:19" ht="12.75" hidden="1">
      <c r="A1089" s="62" t="str">
        <f ca="1">IF(ISERROR(MATCH(F1089,Код_КВР,0)),"",INDIRECT(ADDRESS(MATCH(F1089,Код_КВР,0)+1,2,,,"КВР")))</f>
        <v>Субсидии бюджетным учреждениям</v>
      </c>
      <c r="B1089" s="115">
        <v>808</v>
      </c>
      <c r="C1089" s="8" t="s">
        <v>230</v>
      </c>
      <c r="D1089" s="8" t="s">
        <v>224</v>
      </c>
      <c r="E1089" s="115" t="s">
        <v>582</v>
      </c>
      <c r="F1089" s="115">
        <v>610</v>
      </c>
      <c r="G1089" s="70">
        <f t="shared" si="236"/>
        <v>0</v>
      </c>
      <c r="H1089" s="70">
        <f t="shared" si="236"/>
        <v>0</v>
      </c>
      <c r="I1089" s="70">
        <f t="shared" si="233"/>
        <v>0</v>
      </c>
      <c r="J1089" s="70">
        <f t="shared" si="236"/>
        <v>0</v>
      </c>
      <c r="K1089" s="87">
        <f t="shared" si="228"/>
        <v>0</v>
      </c>
      <c r="L1089" s="13">
        <f t="shared" si="236"/>
        <v>0</v>
      </c>
      <c r="M1089" s="87">
        <f t="shared" si="229"/>
        <v>0</v>
      </c>
      <c r="N1089" s="13">
        <f t="shared" si="236"/>
        <v>0</v>
      </c>
      <c r="O1089" s="87">
        <f t="shared" si="230"/>
        <v>0</v>
      </c>
      <c r="P1089" s="13">
        <f t="shared" si="236"/>
        <v>0</v>
      </c>
      <c r="Q1089" s="87">
        <f t="shared" si="222"/>
        <v>0</v>
      </c>
      <c r="R1089" s="13">
        <f t="shared" si="236"/>
        <v>0</v>
      </c>
      <c r="S1089" s="87">
        <f t="shared" si="220"/>
        <v>0</v>
      </c>
    </row>
    <row r="1090" spans="1:19" ht="12.75" hidden="1">
      <c r="A1090" s="62" t="str">
        <f ca="1">IF(ISERROR(MATCH(F1090,Код_КВР,0)),"",INDIRECT(ADDRESS(MATCH(F1090,Код_КВР,0)+1,2,,,"КВР")))</f>
        <v>Субсидии бюджетным учреждениям на иные цели</v>
      </c>
      <c r="B1090" s="115">
        <v>808</v>
      </c>
      <c r="C1090" s="8" t="s">
        <v>230</v>
      </c>
      <c r="D1090" s="8" t="s">
        <v>224</v>
      </c>
      <c r="E1090" s="115" t="s">
        <v>582</v>
      </c>
      <c r="F1090" s="115">
        <v>612</v>
      </c>
      <c r="G1090" s="70"/>
      <c r="H1090" s="70"/>
      <c r="I1090" s="70">
        <f t="shared" si="233"/>
        <v>0</v>
      </c>
      <c r="J1090" s="70"/>
      <c r="K1090" s="87">
        <f t="shared" si="228"/>
        <v>0</v>
      </c>
      <c r="L1090" s="13"/>
      <c r="M1090" s="87">
        <f t="shared" si="229"/>
        <v>0</v>
      </c>
      <c r="N1090" s="13"/>
      <c r="O1090" s="87">
        <f t="shared" si="230"/>
        <v>0</v>
      </c>
      <c r="P1090" s="13"/>
      <c r="Q1090" s="87">
        <f t="shared" si="222"/>
        <v>0</v>
      </c>
      <c r="R1090" s="13"/>
      <c r="S1090" s="87">
        <f t="shared" si="220"/>
        <v>0</v>
      </c>
    </row>
    <row r="1091" spans="1:19" ht="12.75" hidden="1">
      <c r="A1091" s="62" t="str">
        <f ca="1">IF(ISERROR(MATCH(E1091,Код_КЦСР,0)),"",INDIRECT(ADDRESS(MATCH(E1091,Код_КЦСР,0)+1,2,,,"КЦСР")))</f>
        <v>Пропаганда здорового образа жизни</v>
      </c>
      <c r="B1091" s="115">
        <v>808</v>
      </c>
      <c r="C1091" s="8" t="s">
        <v>230</v>
      </c>
      <c r="D1091" s="8" t="s">
        <v>224</v>
      </c>
      <c r="E1091" s="115" t="s">
        <v>584</v>
      </c>
      <c r="F1091" s="115"/>
      <c r="G1091" s="70">
        <f>G1092+G1101</f>
        <v>0</v>
      </c>
      <c r="H1091" s="70">
        <f>H1092+H1101</f>
        <v>0</v>
      </c>
      <c r="I1091" s="70">
        <f t="shared" si="233"/>
        <v>0</v>
      </c>
      <c r="J1091" s="70">
        <f>J1092+J1101</f>
        <v>0</v>
      </c>
      <c r="K1091" s="87">
        <f t="shared" si="228"/>
        <v>0</v>
      </c>
      <c r="L1091" s="13">
        <f>L1092+L1101</f>
        <v>0</v>
      </c>
      <c r="M1091" s="87">
        <f t="shared" si="229"/>
        <v>0</v>
      </c>
      <c r="N1091" s="13">
        <f>N1092+N1101</f>
        <v>0</v>
      </c>
      <c r="O1091" s="87">
        <f t="shared" si="230"/>
        <v>0</v>
      </c>
      <c r="P1091" s="13">
        <f>P1092+P1101</f>
        <v>0</v>
      </c>
      <c r="Q1091" s="87">
        <f t="shared" si="222"/>
        <v>0</v>
      </c>
      <c r="R1091" s="13">
        <f>R1092+R1101</f>
        <v>0</v>
      </c>
      <c r="S1091" s="87">
        <f t="shared" si="220"/>
        <v>0</v>
      </c>
    </row>
    <row r="1092" spans="1:19" ht="12.75" hidden="1">
      <c r="A1092" s="62" t="str">
        <f ca="1">IF(ISERROR(MATCH(F1092,Код_КВР,0)),"",INDIRECT(ADDRESS(MATCH(F1092,Код_КВР,0)+1,2,,,"КВР")))</f>
        <v>Закупка товаров, работ и услуг для муниципальных нужд</v>
      </c>
      <c r="B1092" s="115">
        <v>808</v>
      </c>
      <c r="C1092" s="8" t="s">
        <v>230</v>
      </c>
      <c r="D1092" s="8" t="s">
        <v>224</v>
      </c>
      <c r="E1092" s="115" t="s">
        <v>584</v>
      </c>
      <c r="F1092" s="115">
        <v>200</v>
      </c>
      <c r="G1092" s="70">
        <f>G1093</f>
        <v>0</v>
      </c>
      <c r="H1092" s="70">
        <f>H1093</f>
        <v>0</v>
      </c>
      <c r="I1092" s="70">
        <f t="shared" si="233"/>
        <v>0</v>
      </c>
      <c r="J1092" s="70">
        <f>J1093</f>
        <v>0</v>
      </c>
      <c r="K1092" s="87">
        <f t="shared" si="228"/>
        <v>0</v>
      </c>
      <c r="L1092" s="13">
        <f>L1093</f>
        <v>0</v>
      </c>
      <c r="M1092" s="87">
        <f t="shared" si="229"/>
        <v>0</v>
      </c>
      <c r="N1092" s="13">
        <f>N1093</f>
        <v>0</v>
      </c>
      <c r="O1092" s="87">
        <f t="shared" si="230"/>
        <v>0</v>
      </c>
      <c r="P1092" s="13">
        <f>P1093</f>
        <v>0</v>
      </c>
      <c r="Q1092" s="87">
        <f t="shared" si="222"/>
        <v>0</v>
      </c>
      <c r="R1092" s="13">
        <f>R1093</f>
        <v>0</v>
      </c>
      <c r="S1092" s="87">
        <f t="shared" si="220"/>
        <v>0</v>
      </c>
    </row>
    <row r="1093" spans="1:19" ht="33" hidden="1">
      <c r="A1093" s="62" t="str">
        <f ca="1">IF(ISERROR(MATCH(F1093,Код_КВР,0)),"",INDIRECT(ADDRESS(MATCH(F1093,Код_КВР,0)+1,2,,,"КВР")))</f>
        <v>Иные закупки товаров, работ и услуг для обеспечения муниципальных нужд</v>
      </c>
      <c r="B1093" s="115">
        <v>808</v>
      </c>
      <c r="C1093" s="8" t="s">
        <v>230</v>
      </c>
      <c r="D1093" s="8" t="s">
        <v>224</v>
      </c>
      <c r="E1093" s="115" t="s">
        <v>584</v>
      </c>
      <c r="F1093" s="115">
        <v>240</v>
      </c>
      <c r="G1093" s="70">
        <f>G1094</f>
        <v>0</v>
      </c>
      <c r="H1093" s="70">
        <f>H1094</f>
        <v>0</v>
      </c>
      <c r="I1093" s="70">
        <f t="shared" si="233"/>
        <v>0</v>
      </c>
      <c r="J1093" s="70">
        <f>J1094</f>
        <v>0</v>
      </c>
      <c r="K1093" s="87">
        <f t="shared" si="228"/>
        <v>0</v>
      </c>
      <c r="L1093" s="13">
        <f>L1094</f>
        <v>0</v>
      </c>
      <c r="M1093" s="87">
        <f t="shared" si="229"/>
        <v>0</v>
      </c>
      <c r="N1093" s="13">
        <f>N1094</f>
        <v>0</v>
      </c>
      <c r="O1093" s="87">
        <f t="shared" si="230"/>
        <v>0</v>
      </c>
      <c r="P1093" s="13">
        <f>P1094</f>
        <v>0</v>
      </c>
      <c r="Q1093" s="87">
        <f t="shared" si="222"/>
        <v>0</v>
      </c>
      <c r="R1093" s="13">
        <f>R1094</f>
        <v>0</v>
      </c>
      <c r="S1093" s="87">
        <f t="shared" si="220"/>
        <v>0</v>
      </c>
    </row>
    <row r="1094" spans="1:19" ht="33" hidden="1">
      <c r="A1094" s="62" t="str">
        <f ca="1">IF(ISERROR(MATCH(F1094,Код_КВР,0)),"",INDIRECT(ADDRESS(MATCH(F1094,Код_КВР,0)+1,2,,,"КВР")))</f>
        <v xml:space="preserve">Прочая закупка товаров, работ и услуг для обеспечения муниципальных нужд         </v>
      </c>
      <c r="B1094" s="115">
        <v>808</v>
      </c>
      <c r="C1094" s="8" t="s">
        <v>230</v>
      </c>
      <c r="D1094" s="8" t="s">
        <v>224</v>
      </c>
      <c r="E1094" s="115" t="s">
        <v>584</v>
      </c>
      <c r="F1094" s="115">
        <v>244</v>
      </c>
      <c r="G1094" s="70"/>
      <c r="H1094" s="70"/>
      <c r="I1094" s="70">
        <f t="shared" si="233"/>
        <v>0</v>
      </c>
      <c r="J1094" s="70"/>
      <c r="K1094" s="87">
        <f t="shared" si="228"/>
        <v>0</v>
      </c>
      <c r="L1094" s="13"/>
      <c r="M1094" s="87">
        <f t="shared" si="229"/>
        <v>0</v>
      </c>
      <c r="N1094" s="13"/>
      <c r="O1094" s="87">
        <f t="shared" si="230"/>
        <v>0</v>
      </c>
      <c r="P1094" s="13"/>
      <c r="Q1094" s="87">
        <f t="shared" si="222"/>
        <v>0</v>
      </c>
      <c r="R1094" s="13"/>
      <c r="S1094" s="87">
        <f t="shared" si="220"/>
        <v>0</v>
      </c>
    </row>
    <row r="1095" spans="1:19" ht="12.75" hidden="1">
      <c r="A1095" s="62" t="str">
        <f ca="1">IF(ISERROR(MATCH(E1095,Код_КЦСР,0)),"",INDIRECT(ADDRESS(MATCH(E1095,Код_КЦСР,0)+1,2,,,"КЦСР")))</f>
        <v>Адаптация горожан с ограниченными возможностями</v>
      </c>
      <c r="B1095" s="115">
        <v>808</v>
      </c>
      <c r="C1095" s="8" t="s">
        <v>230</v>
      </c>
      <c r="D1095" s="8" t="s">
        <v>224</v>
      </c>
      <c r="E1095" s="115" t="s">
        <v>586</v>
      </c>
      <c r="F1095" s="115"/>
      <c r="G1095" s="70">
        <f aca="true" t="shared" si="237" ref="G1095:R1097">G1096</f>
        <v>0</v>
      </c>
      <c r="H1095" s="70">
        <f t="shared" si="237"/>
        <v>0</v>
      </c>
      <c r="I1095" s="70">
        <f t="shared" si="233"/>
        <v>0</v>
      </c>
      <c r="J1095" s="70">
        <f t="shared" si="237"/>
        <v>0</v>
      </c>
      <c r="K1095" s="87">
        <f t="shared" si="228"/>
        <v>0</v>
      </c>
      <c r="L1095" s="13">
        <f t="shared" si="237"/>
        <v>0</v>
      </c>
      <c r="M1095" s="87">
        <f t="shared" si="229"/>
        <v>0</v>
      </c>
      <c r="N1095" s="13">
        <f t="shared" si="237"/>
        <v>0</v>
      </c>
      <c r="O1095" s="87">
        <f t="shared" si="230"/>
        <v>0</v>
      </c>
      <c r="P1095" s="13">
        <f t="shared" si="237"/>
        <v>0</v>
      </c>
      <c r="Q1095" s="87">
        <f t="shared" si="222"/>
        <v>0</v>
      </c>
      <c r="R1095" s="13">
        <f t="shared" si="237"/>
        <v>0</v>
      </c>
      <c r="S1095" s="87">
        <f t="shared" si="220"/>
        <v>0</v>
      </c>
    </row>
    <row r="1096" spans="1:19" ht="12.75" hidden="1">
      <c r="A1096" s="62" t="str">
        <f ca="1">IF(ISERROR(MATCH(F1096,Код_КВР,0)),"",INDIRECT(ADDRESS(MATCH(F1096,Код_КВР,0)+1,2,,,"КВР")))</f>
        <v>Закупка товаров, работ и услуг для муниципальных нужд</v>
      </c>
      <c r="B1096" s="115">
        <v>808</v>
      </c>
      <c r="C1096" s="8" t="s">
        <v>230</v>
      </c>
      <c r="D1096" s="8" t="s">
        <v>224</v>
      </c>
      <c r="E1096" s="115" t="s">
        <v>586</v>
      </c>
      <c r="F1096" s="115">
        <v>200</v>
      </c>
      <c r="G1096" s="70">
        <f t="shared" si="237"/>
        <v>0</v>
      </c>
      <c r="H1096" s="70">
        <f t="shared" si="237"/>
        <v>0</v>
      </c>
      <c r="I1096" s="70">
        <f t="shared" si="233"/>
        <v>0</v>
      </c>
      <c r="J1096" s="70">
        <f t="shared" si="237"/>
        <v>0</v>
      </c>
      <c r="K1096" s="87">
        <f t="shared" si="228"/>
        <v>0</v>
      </c>
      <c r="L1096" s="13">
        <f t="shared" si="237"/>
        <v>0</v>
      </c>
      <c r="M1096" s="87">
        <f t="shared" si="229"/>
        <v>0</v>
      </c>
      <c r="N1096" s="13">
        <f t="shared" si="237"/>
        <v>0</v>
      </c>
      <c r="O1096" s="87">
        <f t="shared" si="230"/>
        <v>0</v>
      </c>
      <c r="P1096" s="13">
        <f t="shared" si="237"/>
        <v>0</v>
      </c>
      <c r="Q1096" s="87">
        <f t="shared" si="222"/>
        <v>0</v>
      </c>
      <c r="R1096" s="13">
        <f t="shared" si="237"/>
        <v>0</v>
      </c>
      <c r="S1096" s="87">
        <f aca="true" t="shared" si="238" ref="S1096:S1159">Q1096+R1096</f>
        <v>0</v>
      </c>
    </row>
    <row r="1097" spans="1:19" ht="33" hidden="1">
      <c r="A1097" s="62" t="str">
        <f ca="1">IF(ISERROR(MATCH(F1097,Код_КВР,0)),"",INDIRECT(ADDRESS(MATCH(F1097,Код_КВР,0)+1,2,,,"КВР")))</f>
        <v>Иные закупки товаров, работ и услуг для обеспечения муниципальных нужд</v>
      </c>
      <c r="B1097" s="115">
        <v>808</v>
      </c>
      <c r="C1097" s="8" t="s">
        <v>230</v>
      </c>
      <c r="D1097" s="8" t="s">
        <v>224</v>
      </c>
      <c r="E1097" s="115" t="s">
        <v>586</v>
      </c>
      <c r="F1097" s="115">
        <v>240</v>
      </c>
      <c r="G1097" s="70">
        <f t="shared" si="237"/>
        <v>0</v>
      </c>
      <c r="H1097" s="70">
        <f t="shared" si="237"/>
        <v>0</v>
      </c>
      <c r="I1097" s="70">
        <f t="shared" si="233"/>
        <v>0</v>
      </c>
      <c r="J1097" s="70">
        <f t="shared" si="237"/>
        <v>0</v>
      </c>
      <c r="K1097" s="87">
        <f t="shared" si="228"/>
        <v>0</v>
      </c>
      <c r="L1097" s="13">
        <f t="shared" si="237"/>
        <v>0</v>
      </c>
      <c r="M1097" s="87">
        <f t="shared" si="229"/>
        <v>0</v>
      </c>
      <c r="N1097" s="13">
        <f t="shared" si="237"/>
        <v>0</v>
      </c>
      <c r="O1097" s="87">
        <f t="shared" si="230"/>
        <v>0</v>
      </c>
      <c r="P1097" s="13">
        <f t="shared" si="237"/>
        <v>0</v>
      </c>
      <c r="Q1097" s="87">
        <f t="shared" si="222"/>
        <v>0</v>
      </c>
      <c r="R1097" s="13">
        <f t="shared" si="237"/>
        <v>0</v>
      </c>
      <c r="S1097" s="87">
        <f t="shared" si="238"/>
        <v>0</v>
      </c>
    </row>
    <row r="1098" spans="1:19" ht="33" hidden="1">
      <c r="A1098" s="62" t="str">
        <f ca="1">IF(ISERROR(MATCH(F1098,Код_КВР,0)),"",INDIRECT(ADDRESS(MATCH(F1098,Код_КВР,0)+1,2,,,"КВР")))</f>
        <v xml:space="preserve">Прочая закупка товаров, работ и услуг для обеспечения муниципальных нужд         </v>
      </c>
      <c r="B1098" s="115">
        <v>808</v>
      </c>
      <c r="C1098" s="8" t="s">
        <v>230</v>
      </c>
      <c r="D1098" s="8" t="s">
        <v>224</v>
      </c>
      <c r="E1098" s="115" t="s">
        <v>586</v>
      </c>
      <c r="F1098" s="115">
        <v>244</v>
      </c>
      <c r="G1098" s="70"/>
      <c r="H1098" s="70"/>
      <c r="I1098" s="70">
        <f t="shared" si="233"/>
        <v>0</v>
      </c>
      <c r="J1098" s="70"/>
      <c r="K1098" s="87">
        <f t="shared" si="228"/>
        <v>0</v>
      </c>
      <c r="L1098" s="13"/>
      <c r="M1098" s="87">
        <f t="shared" si="229"/>
        <v>0</v>
      </c>
      <c r="N1098" s="13"/>
      <c r="O1098" s="87">
        <f t="shared" si="230"/>
        <v>0</v>
      </c>
      <c r="P1098" s="13"/>
      <c r="Q1098" s="87">
        <f t="shared" si="222"/>
        <v>0</v>
      </c>
      <c r="R1098" s="13"/>
      <c r="S1098" s="87">
        <f t="shared" si="238"/>
        <v>0</v>
      </c>
    </row>
    <row r="1099" spans="1:19" ht="12.75" hidden="1">
      <c r="A1099" s="62" t="str">
        <f ca="1">IF(ISERROR(MATCH(E1099,Код_КЦСР,0)),"",INDIRECT(ADDRESS(MATCH(E1099,Код_КЦСР,0)+1,2,,,"КЦСР")))</f>
        <v>Активное долголетие</v>
      </c>
      <c r="B1099" s="115">
        <v>808</v>
      </c>
      <c r="C1099" s="8" t="s">
        <v>230</v>
      </c>
      <c r="D1099" s="8" t="s">
        <v>224</v>
      </c>
      <c r="E1099" s="115" t="s">
        <v>590</v>
      </c>
      <c r="F1099" s="115"/>
      <c r="G1099" s="70">
        <f aca="true" t="shared" si="239" ref="G1099:R1101">G1100</f>
        <v>0</v>
      </c>
      <c r="H1099" s="70">
        <f t="shared" si="239"/>
        <v>0</v>
      </c>
      <c r="I1099" s="70">
        <f t="shared" si="233"/>
        <v>0</v>
      </c>
      <c r="J1099" s="70">
        <f t="shared" si="239"/>
        <v>0</v>
      </c>
      <c r="K1099" s="87">
        <f t="shared" si="228"/>
        <v>0</v>
      </c>
      <c r="L1099" s="13">
        <f t="shared" si="239"/>
        <v>0</v>
      </c>
      <c r="M1099" s="87">
        <f t="shared" si="229"/>
        <v>0</v>
      </c>
      <c r="N1099" s="13">
        <f t="shared" si="239"/>
        <v>0</v>
      </c>
      <c r="O1099" s="87">
        <f t="shared" si="230"/>
        <v>0</v>
      </c>
      <c r="P1099" s="13">
        <f t="shared" si="239"/>
        <v>0</v>
      </c>
      <c r="Q1099" s="87">
        <f t="shared" si="222"/>
        <v>0</v>
      </c>
      <c r="R1099" s="13">
        <f t="shared" si="239"/>
        <v>0</v>
      </c>
      <c r="S1099" s="87">
        <f t="shared" si="238"/>
        <v>0</v>
      </c>
    </row>
    <row r="1100" spans="1:19" ht="12.75" hidden="1">
      <c r="A1100" s="62" t="str">
        <f ca="1">IF(ISERROR(MATCH(F1100,Код_КВР,0)),"",INDIRECT(ADDRESS(MATCH(F1100,Код_КВР,0)+1,2,,,"КВР")))</f>
        <v>Закупка товаров, работ и услуг для муниципальных нужд</v>
      </c>
      <c r="B1100" s="115">
        <v>808</v>
      </c>
      <c r="C1100" s="8" t="s">
        <v>230</v>
      </c>
      <c r="D1100" s="8" t="s">
        <v>224</v>
      </c>
      <c r="E1100" s="115" t="s">
        <v>590</v>
      </c>
      <c r="F1100" s="115">
        <v>200</v>
      </c>
      <c r="G1100" s="70">
        <f t="shared" si="239"/>
        <v>0</v>
      </c>
      <c r="H1100" s="70">
        <f t="shared" si="239"/>
        <v>0</v>
      </c>
      <c r="I1100" s="70">
        <f t="shared" si="233"/>
        <v>0</v>
      </c>
      <c r="J1100" s="70">
        <f t="shared" si="239"/>
        <v>0</v>
      </c>
      <c r="K1100" s="87">
        <f t="shared" si="228"/>
        <v>0</v>
      </c>
      <c r="L1100" s="13">
        <f t="shared" si="239"/>
        <v>0</v>
      </c>
      <c r="M1100" s="87">
        <f t="shared" si="229"/>
        <v>0</v>
      </c>
      <c r="N1100" s="13">
        <f t="shared" si="239"/>
        <v>0</v>
      </c>
      <c r="O1100" s="87">
        <f t="shared" si="230"/>
        <v>0</v>
      </c>
      <c r="P1100" s="13">
        <f t="shared" si="239"/>
        <v>0</v>
      </c>
      <c r="Q1100" s="87">
        <f t="shared" si="222"/>
        <v>0</v>
      </c>
      <c r="R1100" s="13">
        <f t="shared" si="239"/>
        <v>0</v>
      </c>
      <c r="S1100" s="87">
        <f t="shared" si="238"/>
        <v>0</v>
      </c>
    </row>
    <row r="1101" spans="1:19" ht="33" hidden="1">
      <c r="A1101" s="62" t="str">
        <f ca="1">IF(ISERROR(MATCH(F1101,Код_КВР,0)),"",INDIRECT(ADDRESS(MATCH(F1101,Код_КВР,0)+1,2,,,"КВР")))</f>
        <v>Иные закупки товаров, работ и услуг для обеспечения муниципальных нужд</v>
      </c>
      <c r="B1101" s="115">
        <v>808</v>
      </c>
      <c r="C1101" s="8" t="s">
        <v>230</v>
      </c>
      <c r="D1101" s="8" t="s">
        <v>224</v>
      </c>
      <c r="E1101" s="115" t="s">
        <v>590</v>
      </c>
      <c r="F1101" s="115">
        <v>240</v>
      </c>
      <c r="G1101" s="70">
        <f t="shared" si="239"/>
        <v>0</v>
      </c>
      <c r="H1101" s="70">
        <f t="shared" si="239"/>
        <v>0</v>
      </c>
      <c r="I1101" s="70">
        <f t="shared" si="233"/>
        <v>0</v>
      </c>
      <c r="J1101" s="70">
        <f t="shared" si="239"/>
        <v>0</v>
      </c>
      <c r="K1101" s="87">
        <f t="shared" si="228"/>
        <v>0</v>
      </c>
      <c r="L1101" s="13">
        <f t="shared" si="239"/>
        <v>0</v>
      </c>
      <c r="M1101" s="87">
        <f t="shared" si="229"/>
        <v>0</v>
      </c>
      <c r="N1101" s="13">
        <f t="shared" si="239"/>
        <v>0</v>
      </c>
      <c r="O1101" s="87">
        <f t="shared" si="230"/>
        <v>0</v>
      </c>
      <c r="P1101" s="13">
        <f t="shared" si="239"/>
        <v>0</v>
      </c>
      <c r="Q1101" s="87">
        <f t="shared" si="222"/>
        <v>0</v>
      </c>
      <c r="R1101" s="13">
        <f t="shared" si="239"/>
        <v>0</v>
      </c>
      <c r="S1101" s="87">
        <f t="shared" si="238"/>
        <v>0</v>
      </c>
    </row>
    <row r="1102" spans="1:19" ht="33" hidden="1">
      <c r="A1102" s="62" t="str">
        <f ca="1">IF(ISERROR(MATCH(F1102,Код_КВР,0)),"",INDIRECT(ADDRESS(MATCH(F1102,Код_КВР,0)+1,2,,,"КВР")))</f>
        <v xml:space="preserve">Прочая закупка товаров, работ и услуг для обеспечения муниципальных нужд         </v>
      </c>
      <c r="B1102" s="115">
        <v>808</v>
      </c>
      <c r="C1102" s="8" t="s">
        <v>230</v>
      </c>
      <c r="D1102" s="8" t="s">
        <v>224</v>
      </c>
      <c r="E1102" s="115" t="s">
        <v>590</v>
      </c>
      <c r="F1102" s="115">
        <v>244</v>
      </c>
      <c r="G1102" s="70"/>
      <c r="H1102" s="70"/>
      <c r="I1102" s="70">
        <f t="shared" si="233"/>
        <v>0</v>
      </c>
      <c r="J1102" s="70"/>
      <c r="K1102" s="87">
        <f t="shared" si="228"/>
        <v>0</v>
      </c>
      <c r="L1102" s="13"/>
      <c r="M1102" s="87">
        <f t="shared" si="229"/>
        <v>0</v>
      </c>
      <c r="N1102" s="13"/>
      <c r="O1102" s="87">
        <f t="shared" si="230"/>
        <v>0</v>
      </c>
      <c r="P1102" s="13"/>
      <c r="Q1102" s="87">
        <f aca="true" t="shared" si="240" ref="Q1102:Q1165">O1102+P1102</f>
        <v>0</v>
      </c>
      <c r="R1102" s="13"/>
      <c r="S1102" s="87">
        <f t="shared" si="238"/>
        <v>0</v>
      </c>
    </row>
    <row r="1103" spans="1:19" ht="33">
      <c r="A1103" s="62" t="str">
        <f ca="1">IF(ISERROR(MATCH(E1103,Код_КЦСР,0)),"",INDIRECT(ADDRESS(MATCH(E1103,Код_КЦСР,0)+1,2,,,"КЦСР")))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103" s="115">
        <v>808</v>
      </c>
      <c r="C1103" s="8" t="s">
        <v>230</v>
      </c>
      <c r="D1103" s="8" t="s">
        <v>224</v>
      </c>
      <c r="E1103" s="115" t="s">
        <v>81</v>
      </c>
      <c r="F1103" s="115"/>
      <c r="G1103" s="70">
        <f>G1104</f>
        <v>696.4</v>
      </c>
      <c r="H1103" s="70">
        <f>H1104</f>
        <v>0</v>
      </c>
      <c r="I1103" s="70">
        <f t="shared" si="233"/>
        <v>696.4</v>
      </c>
      <c r="J1103" s="70">
        <f>J1104</f>
        <v>0</v>
      </c>
      <c r="K1103" s="87">
        <f t="shared" si="228"/>
        <v>696.4</v>
      </c>
      <c r="L1103" s="13">
        <f>L1104</f>
        <v>0</v>
      </c>
      <c r="M1103" s="87">
        <f t="shared" si="229"/>
        <v>696.4</v>
      </c>
      <c r="N1103" s="13">
        <f>N1104</f>
        <v>0</v>
      </c>
      <c r="O1103" s="87">
        <f t="shared" si="230"/>
        <v>696.4</v>
      </c>
      <c r="P1103" s="13">
        <f>P1104</f>
        <v>0</v>
      </c>
      <c r="Q1103" s="87">
        <f t="shared" si="240"/>
        <v>696.4</v>
      </c>
      <c r="R1103" s="13">
        <f>R1104</f>
        <v>0</v>
      </c>
      <c r="S1103" s="87">
        <f t="shared" si="238"/>
        <v>696.4</v>
      </c>
    </row>
    <row r="1104" spans="1:19" ht="12.75">
      <c r="A1104" s="62" t="str">
        <f ca="1">IF(ISERROR(MATCH(E1104,Код_КЦСР,0)),"",INDIRECT(ADDRESS(MATCH(E1104,Код_КЦСР,0)+1,2,,,"КЦСР")))</f>
        <v>Обеспечение пожарной безопасности муниципальных учреждений города</v>
      </c>
      <c r="B1104" s="115">
        <v>808</v>
      </c>
      <c r="C1104" s="8" t="s">
        <v>230</v>
      </c>
      <c r="D1104" s="8" t="s">
        <v>224</v>
      </c>
      <c r="E1104" s="115" t="s">
        <v>83</v>
      </c>
      <c r="F1104" s="115"/>
      <c r="G1104" s="70">
        <f>G1105+G1109+G1115</f>
        <v>696.4</v>
      </c>
      <c r="H1104" s="70">
        <f>H1105+H1109+H1115</f>
        <v>0</v>
      </c>
      <c r="I1104" s="70">
        <f t="shared" si="233"/>
        <v>696.4</v>
      </c>
      <c r="J1104" s="70">
        <f>J1105+J1109+J1115</f>
        <v>0</v>
      </c>
      <c r="K1104" s="87">
        <f t="shared" si="228"/>
        <v>696.4</v>
      </c>
      <c r="L1104" s="13">
        <f>L1105+L1109+L1115</f>
        <v>0</v>
      </c>
      <c r="M1104" s="87">
        <f t="shared" si="229"/>
        <v>696.4</v>
      </c>
      <c r="N1104" s="13">
        <f>N1105+N1109+N1115</f>
        <v>0</v>
      </c>
      <c r="O1104" s="87">
        <f t="shared" si="230"/>
        <v>696.4</v>
      </c>
      <c r="P1104" s="13">
        <f>P1105+P1109+P1115</f>
        <v>0</v>
      </c>
      <c r="Q1104" s="87">
        <f t="shared" si="240"/>
        <v>696.4</v>
      </c>
      <c r="R1104" s="13">
        <f>R1105+R1109+R1115</f>
        <v>0</v>
      </c>
      <c r="S1104" s="87">
        <f t="shared" si="238"/>
        <v>696.4</v>
      </c>
    </row>
    <row r="1105" spans="1:19" ht="49.5">
      <c r="A1105" s="62" t="str">
        <f ca="1">IF(ISERROR(MATCH(E1105,Код_КЦСР,0)),"",INDIRECT(ADDRESS(MATCH(E1105,Код_КЦСР,0)+1,2,,,"КЦСР")))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105" s="115">
        <v>808</v>
      </c>
      <c r="C1105" s="8" t="s">
        <v>230</v>
      </c>
      <c r="D1105" s="8" t="s">
        <v>224</v>
      </c>
      <c r="E1105" s="115" t="s">
        <v>85</v>
      </c>
      <c r="F1105" s="115"/>
      <c r="G1105" s="70">
        <f aca="true" t="shared" si="241" ref="G1105:R1107">G1106</f>
        <v>591</v>
      </c>
      <c r="H1105" s="70">
        <f t="shared" si="241"/>
        <v>0</v>
      </c>
      <c r="I1105" s="70">
        <f t="shared" si="233"/>
        <v>591</v>
      </c>
      <c r="J1105" s="70">
        <f t="shared" si="241"/>
        <v>0</v>
      </c>
      <c r="K1105" s="87">
        <f t="shared" si="228"/>
        <v>591</v>
      </c>
      <c r="L1105" s="13">
        <f t="shared" si="241"/>
        <v>0</v>
      </c>
      <c r="M1105" s="87">
        <f t="shared" si="229"/>
        <v>591</v>
      </c>
      <c r="N1105" s="13">
        <f t="shared" si="241"/>
        <v>0</v>
      </c>
      <c r="O1105" s="87">
        <f t="shared" si="230"/>
        <v>591</v>
      </c>
      <c r="P1105" s="13">
        <f t="shared" si="241"/>
        <v>0</v>
      </c>
      <c r="Q1105" s="87">
        <f t="shared" si="240"/>
        <v>591</v>
      </c>
      <c r="R1105" s="13">
        <f t="shared" si="241"/>
        <v>0</v>
      </c>
      <c r="S1105" s="87">
        <f t="shared" si="238"/>
        <v>591</v>
      </c>
    </row>
    <row r="1106" spans="1:19" ht="33">
      <c r="A1106" s="62" t="str">
        <f ca="1">IF(ISERROR(MATCH(F1106,Код_КВР,0)),"",INDIRECT(ADDRESS(MATCH(F1106,Код_КВР,0)+1,2,,,"КВР")))</f>
        <v>Предоставление субсидий бюджетным, автономным учреждениям и иным некоммерческим организациям</v>
      </c>
      <c r="B1106" s="115">
        <v>808</v>
      </c>
      <c r="C1106" s="8" t="s">
        <v>230</v>
      </c>
      <c r="D1106" s="8" t="s">
        <v>224</v>
      </c>
      <c r="E1106" s="115" t="s">
        <v>85</v>
      </c>
      <c r="F1106" s="115">
        <v>600</v>
      </c>
      <c r="G1106" s="70">
        <f t="shared" si="241"/>
        <v>591</v>
      </c>
      <c r="H1106" s="70">
        <f t="shared" si="241"/>
        <v>0</v>
      </c>
      <c r="I1106" s="70">
        <f t="shared" si="233"/>
        <v>591</v>
      </c>
      <c r="J1106" s="70">
        <f t="shared" si="241"/>
        <v>0</v>
      </c>
      <c r="K1106" s="87">
        <f t="shared" si="228"/>
        <v>591</v>
      </c>
      <c r="L1106" s="13">
        <f t="shared" si="241"/>
        <v>0</v>
      </c>
      <c r="M1106" s="87">
        <f t="shared" si="229"/>
        <v>591</v>
      </c>
      <c r="N1106" s="13">
        <f t="shared" si="241"/>
        <v>0</v>
      </c>
      <c r="O1106" s="87">
        <f t="shared" si="230"/>
        <v>591</v>
      </c>
      <c r="P1106" s="13">
        <f t="shared" si="241"/>
        <v>0</v>
      </c>
      <c r="Q1106" s="87">
        <f t="shared" si="240"/>
        <v>591</v>
      </c>
      <c r="R1106" s="13">
        <f t="shared" si="241"/>
        <v>0</v>
      </c>
      <c r="S1106" s="87">
        <f t="shared" si="238"/>
        <v>591</v>
      </c>
    </row>
    <row r="1107" spans="1:19" ht="12.75">
      <c r="A1107" s="62" t="str">
        <f ca="1">IF(ISERROR(MATCH(F1107,Код_КВР,0)),"",INDIRECT(ADDRESS(MATCH(F1107,Код_КВР,0)+1,2,,,"КВР")))</f>
        <v>Субсидии бюджетным учреждениям</v>
      </c>
      <c r="B1107" s="115">
        <v>808</v>
      </c>
      <c r="C1107" s="8" t="s">
        <v>230</v>
      </c>
      <c r="D1107" s="8" t="s">
        <v>224</v>
      </c>
      <c r="E1107" s="115" t="s">
        <v>85</v>
      </c>
      <c r="F1107" s="115">
        <v>610</v>
      </c>
      <c r="G1107" s="70">
        <f t="shared" si="241"/>
        <v>591</v>
      </c>
      <c r="H1107" s="70">
        <f t="shared" si="241"/>
        <v>0</v>
      </c>
      <c r="I1107" s="70">
        <f t="shared" si="233"/>
        <v>591</v>
      </c>
      <c r="J1107" s="70">
        <f t="shared" si="241"/>
        <v>0</v>
      </c>
      <c r="K1107" s="87">
        <f t="shared" si="228"/>
        <v>591</v>
      </c>
      <c r="L1107" s="13">
        <f t="shared" si="241"/>
        <v>0</v>
      </c>
      <c r="M1107" s="87">
        <f t="shared" si="229"/>
        <v>591</v>
      </c>
      <c r="N1107" s="13">
        <f t="shared" si="241"/>
        <v>0</v>
      </c>
      <c r="O1107" s="87">
        <f t="shared" si="230"/>
        <v>591</v>
      </c>
      <c r="P1107" s="13">
        <f t="shared" si="241"/>
        <v>0</v>
      </c>
      <c r="Q1107" s="87">
        <f t="shared" si="240"/>
        <v>591</v>
      </c>
      <c r="R1107" s="13">
        <f t="shared" si="241"/>
        <v>0</v>
      </c>
      <c r="S1107" s="87">
        <f t="shared" si="238"/>
        <v>591</v>
      </c>
    </row>
    <row r="1108" spans="1:19" ht="12.75">
      <c r="A1108" s="62" t="str">
        <f ca="1">IF(ISERROR(MATCH(F1108,Код_КВР,0)),"",INDIRECT(ADDRESS(MATCH(F1108,Код_КВР,0)+1,2,,,"КВР")))</f>
        <v>Субсидии бюджетным учреждениям на иные цели</v>
      </c>
      <c r="B1108" s="115">
        <v>808</v>
      </c>
      <c r="C1108" s="8" t="s">
        <v>230</v>
      </c>
      <c r="D1108" s="8" t="s">
        <v>224</v>
      </c>
      <c r="E1108" s="115" t="s">
        <v>85</v>
      </c>
      <c r="F1108" s="115">
        <v>612</v>
      </c>
      <c r="G1108" s="70">
        <v>591</v>
      </c>
      <c r="H1108" s="70"/>
      <c r="I1108" s="70">
        <f t="shared" si="233"/>
        <v>591</v>
      </c>
      <c r="J1108" s="70"/>
      <c r="K1108" s="87">
        <f t="shared" si="228"/>
        <v>591</v>
      </c>
      <c r="L1108" s="13"/>
      <c r="M1108" s="87">
        <f t="shared" si="229"/>
        <v>591</v>
      </c>
      <c r="N1108" s="13"/>
      <c r="O1108" s="87">
        <f t="shared" si="230"/>
        <v>591</v>
      </c>
      <c r="P1108" s="13"/>
      <c r="Q1108" s="87">
        <f t="shared" si="240"/>
        <v>591</v>
      </c>
      <c r="R1108" s="13"/>
      <c r="S1108" s="87">
        <f t="shared" si="238"/>
        <v>591</v>
      </c>
    </row>
    <row r="1109" spans="1:19" ht="12.75" hidden="1">
      <c r="A1109" s="62" t="str">
        <f ca="1">IF(ISERROR(MATCH(E1109,Код_КЦСР,0)),"",INDIRECT(ADDRESS(MATCH(E1109,Код_КЦСР,0)+1,2,,,"КЦСР")))</f>
        <v>Ремонт и оборудование эвакуационных путей  зданий</v>
      </c>
      <c r="B1109" s="115">
        <v>808</v>
      </c>
      <c r="C1109" s="8" t="s">
        <v>230</v>
      </c>
      <c r="D1109" s="8" t="s">
        <v>224</v>
      </c>
      <c r="E1109" s="115" t="s">
        <v>89</v>
      </c>
      <c r="F1109" s="115"/>
      <c r="G1109" s="70">
        <f>G1110</f>
        <v>0</v>
      </c>
      <c r="H1109" s="70">
        <f>H1110</f>
        <v>0</v>
      </c>
      <c r="I1109" s="70">
        <f t="shared" si="233"/>
        <v>0</v>
      </c>
      <c r="J1109" s="70">
        <f>J1110</f>
        <v>0</v>
      </c>
      <c r="K1109" s="87">
        <f t="shared" si="228"/>
        <v>0</v>
      </c>
      <c r="L1109" s="13">
        <f>L1110</f>
        <v>0</v>
      </c>
      <c r="M1109" s="87">
        <f t="shared" si="229"/>
        <v>0</v>
      </c>
      <c r="N1109" s="13">
        <f>N1110</f>
        <v>0</v>
      </c>
      <c r="O1109" s="87">
        <f t="shared" si="230"/>
        <v>0</v>
      </c>
      <c r="P1109" s="13">
        <f>P1110</f>
        <v>0</v>
      </c>
      <c r="Q1109" s="87">
        <f t="shared" si="240"/>
        <v>0</v>
      </c>
      <c r="R1109" s="13">
        <f>R1110</f>
        <v>0</v>
      </c>
      <c r="S1109" s="87">
        <f t="shared" si="238"/>
        <v>0</v>
      </c>
    </row>
    <row r="1110" spans="1:19" ht="33" hidden="1">
      <c r="A1110" s="62" t="str">
        <f ca="1">IF(ISERROR(MATCH(F1110,Код_КВР,0)),"",INDIRECT(ADDRESS(MATCH(F1110,Код_КВР,0)+1,2,,,"КВР")))</f>
        <v>Предоставление субсидий бюджетным, автономным учреждениям и иным некоммерческим организациям</v>
      </c>
      <c r="B1110" s="115">
        <v>808</v>
      </c>
      <c r="C1110" s="8" t="s">
        <v>230</v>
      </c>
      <c r="D1110" s="8" t="s">
        <v>224</v>
      </c>
      <c r="E1110" s="115" t="s">
        <v>89</v>
      </c>
      <c r="F1110" s="115">
        <v>600</v>
      </c>
      <c r="G1110" s="70">
        <f>G1111+G1113</f>
        <v>0</v>
      </c>
      <c r="H1110" s="70">
        <f>H1111+H1113</f>
        <v>0</v>
      </c>
      <c r="I1110" s="70">
        <f t="shared" si="233"/>
        <v>0</v>
      </c>
      <c r="J1110" s="70">
        <f>J1111+J1113</f>
        <v>0</v>
      </c>
      <c r="K1110" s="87">
        <f t="shared" si="228"/>
        <v>0</v>
      </c>
      <c r="L1110" s="13">
        <f>L1111+L1113</f>
        <v>0</v>
      </c>
      <c r="M1110" s="87">
        <f t="shared" si="229"/>
        <v>0</v>
      </c>
      <c r="N1110" s="13">
        <f>N1111+N1113</f>
        <v>0</v>
      </c>
      <c r="O1110" s="87">
        <f t="shared" si="230"/>
        <v>0</v>
      </c>
      <c r="P1110" s="13">
        <f>P1111+P1113</f>
        <v>0</v>
      </c>
      <c r="Q1110" s="87">
        <f t="shared" si="240"/>
        <v>0</v>
      </c>
      <c r="R1110" s="13">
        <f>R1111+R1113</f>
        <v>0</v>
      </c>
      <c r="S1110" s="87">
        <f t="shared" si="238"/>
        <v>0</v>
      </c>
    </row>
    <row r="1111" spans="1:19" ht="12.75" hidden="1">
      <c r="A1111" s="62" t="str">
        <f ca="1">IF(ISERROR(MATCH(F1111,Код_КВР,0)),"",INDIRECT(ADDRESS(MATCH(F1111,Код_КВР,0)+1,2,,,"КВР")))</f>
        <v>Субсидии бюджетным учреждениям</v>
      </c>
      <c r="B1111" s="115">
        <v>808</v>
      </c>
      <c r="C1111" s="8" t="s">
        <v>230</v>
      </c>
      <c r="D1111" s="8" t="s">
        <v>224</v>
      </c>
      <c r="E1111" s="115" t="s">
        <v>89</v>
      </c>
      <c r="F1111" s="115">
        <v>610</v>
      </c>
      <c r="G1111" s="70">
        <f>G1112</f>
        <v>0</v>
      </c>
      <c r="H1111" s="70">
        <f>H1112</f>
        <v>0</v>
      </c>
      <c r="I1111" s="70">
        <f t="shared" si="233"/>
        <v>0</v>
      </c>
      <c r="J1111" s="70">
        <f>J1112</f>
        <v>0</v>
      </c>
      <c r="K1111" s="87">
        <f t="shared" si="228"/>
        <v>0</v>
      </c>
      <c r="L1111" s="13">
        <f>L1112</f>
        <v>0</v>
      </c>
      <c r="M1111" s="87">
        <f t="shared" si="229"/>
        <v>0</v>
      </c>
      <c r="N1111" s="13">
        <f>N1112</f>
        <v>0</v>
      </c>
      <c r="O1111" s="87">
        <f t="shared" si="230"/>
        <v>0</v>
      </c>
      <c r="P1111" s="13">
        <f>P1112</f>
        <v>0</v>
      </c>
      <c r="Q1111" s="87">
        <f t="shared" si="240"/>
        <v>0</v>
      </c>
      <c r="R1111" s="13">
        <f>R1112</f>
        <v>0</v>
      </c>
      <c r="S1111" s="87">
        <f t="shared" si="238"/>
        <v>0</v>
      </c>
    </row>
    <row r="1112" spans="1:19" ht="12.75" hidden="1">
      <c r="A1112" s="62" t="str">
        <f ca="1">IF(ISERROR(MATCH(F1112,Код_КВР,0)),"",INDIRECT(ADDRESS(MATCH(F1112,Код_КВР,0)+1,2,,,"КВР")))</f>
        <v>Субсидии бюджетным учреждениям на иные цели</v>
      </c>
      <c r="B1112" s="115">
        <v>808</v>
      </c>
      <c r="C1112" s="8" t="s">
        <v>230</v>
      </c>
      <c r="D1112" s="8" t="s">
        <v>224</v>
      </c>
      <c r="E1112" s="115" t="s">
        <v>89</v>
      </c>
      <c r="F1112" s="115">
        <v>612</v>
      </c>
      <c r="G1112" s="70"/>
      <c r="H1112" s="70"/>
      <c r="I1112" s="70">
        <f t="shared" si="233"/>
        <v>0</v>
      </c>
      <c r="J1112" s="70"/>
      <c r="K1112" s="87">
        <f t="shared" si="228"/>
        <v>0</v>
      </c>
      <c r="L1112" s="13"/>
      <c r="M1112" s="87">
        <f t="shared" si="229"/>
        <v>0</v>
      </c>
      <c r="N1112" s="13"/>
      <c r="O1112" s="87">
        <f t="shared" si="230"/>
        <v>0</v>
      </c>
      <c r="P1112" s="13"/>
      <c r="Q1112" s="87">
        <f t="shared" si="240"/>
        <v>0</v>
      </c>
      <c r="R1112" s="13"/>
      <c r="S1112" s="87">
        <f t="shared" si="238"/>
        <v>0</v>
      </c>
    </row>
    <row r="1113" spans="1:19" ht="12.75" hidden="1">
      <c r="A1113" s="62" t="str">
        <f ca="1">IF(ISERROR(MATCH(F1113,Код_КВР,0)),"",INDIRECT(ADDRESS(MATCH(F1113,Код_КВР,0)+1,2,,,"КВР")))</f>
        <v>Субсидии автономным учреждениям</v>
      </c>
      <c r="B1113" s="115">
        <v>808</v>
      </c>
      <c r="C1113" s="8" t="s">
        <v>230</v>
      </c>
      <c r="D1113" s="8" t="s">
        <v>224</v>
      </c>
      <c r="E1113" s="115" t="s">
        <v>89</v>
      </c>
      <c r="F1113" s="115">
        <v>620</v>
      </c>
      <c r="G1113" s="70">
        <f>G1114</f>
        <v>0</v>
      </c>
      <c r="H1113" s="70">
        <f>H1114</f>
        <v>0</v>
      </c>
      <c r="I1113" s="70">
        <f t="shared" si="233"/>
        <v>0</v>
      </c>
      <c r="J1113" s="70">
        <f>J1114</f>
        <v>0</v>
      </c>
      <c r="K1113" s="87">
        <f t="shared" si="228"/>
        <v>0</v>
      </c>
      <c r="L1113" s="13">
        <f>L1114</f>
        <v>0</v>
      </c>
      <c r="M1113" s="87">
        <f t="shared" si="229"/>
        <v>0</v>
      </c>
      <c r="N1113" s="13">
        <f>N1114</f>
        <v>0</v>
      </c>
      <c r="O1113" s="87">
        <f t="shared" si="230"/>
        <v>0</v>
      </c>
      <c r="P1113" s="13">
        <f>P1114</f>
        <v>0</v>
      </c>
      <c r="Q1113" s="87">
        <f t="shared" si="240"/>
        <v>0</v>
      </c>
      <c r="R1113" s="13">
        <f>R1114</f>
        <v>0</v>
      </c>
      <c r="S1113" s="87">
        <f t="shared" si="238"/>
        <v>0</v>
      </c>
    </row>
    <row r="1114" spans="1:19" ht="12.75" hidden="1">
      <c r="A1114" s="62" t="str">
        <f ca="1">IF(ISERROR(MATCH(F1114,Код_КВР,0)),"",INDIRECT(ADDRESS(MATCH(F1114,Код_КВР,0)+1,2,,,"КВР")))</f>
        <v>Субсидии автономным учреждениям на иные цели</v>
      </c>
      <c r="B1114" s="115">
        <v>808</v>
      </c>
      <c r="C1114" s="8" t="s">
        <v>230</v>
      </c>
      <c r="D1114" s="8" t="s">
        <v>224</v>
      </c>
      <c r="E1114" s="115" t="s">
        <v>89</v>
      </c>
      <c r="F1114" s="115">
        <v>622</v>
      </c>
      <c r="G1114" s="70"/>
      <c r="H1114" s="70"/>
      <c r="I1114" s="70">
        <f t="shared" si="233"/>
        <v>0</v>
      </c>
      <c r="J1114" s="70"/>
      <c r="K1114" s="87">
        <f t="shared" si="228"/>
        <v>0</v>
      </c>
      <c r="L1114" s="13"/>
      <c r="M1114" s="87">
        <f t="shared" si="229"/>
        <v>0</v>
      </c>
      <c r="N1114" s="13"/>
      <c r="O1114" s="87">
        <f t="shared" si="230"/>
        <v>0</v>
      </c>
      <c r="P1114" s="13"/>
      <c r="Q1114" s="87">
        <f t="shared" si="240"/>
        <v>0</v>
      </c>
      <c r="R1114" s="13"/>
      <c r="S1114" s="87">
        <f t="shared" si="238"/>
        <v>0</v>
      </c>
    </row>
    <row r="1115" spans="1:19" ht="12.75">
      <c r="A1115" s="62" t="str">
        <f ca="1">IF(ISERROR(MATCH(E1115,Код_КЦСР,0)),"",INDIRECT(ADDRESS(MATCH(E1115,Код_КЦСР,0)+1,2,,,"КЦСР")))</f>
        <v>Установка распашных решеток на окнах зданий</v>
      </c>
      <c r="B1115" s="115">
        <v>808</v>
      </c>
      <c r="C1115" s="8" t="s">
        <v>230</v>
      </c>
      <c r="D1115" s="8" t="s">
        <v>224</v>
      </c>
      <c r="E1115" s="115" t="s">
        <v>105</v>
      </c>
      <c r="F1115" s="115"/>
      <c r="G1115" s="70">
        <f>G1116</f>
        <v>105.4</v>
      </c>
      <c r="H1115" s="70">
        <f>H1116</f>
        <v>0</v>
      </c>
      <c r="I1115" s="70">
        <f t="shared" si="233"/>
        <v>105.4</v>
      </c>
      <c r="J1115" s="70">
        <f>J1116</f>
        <v>0</v>
      </c>
      <c r="K1115" s="87">
        <f t="shared" si="228"/>
        <v>105.4</v>
      </c>
      <c r="L1115" s="13">
        <f>L1116</f>
        <v>0</v>
      </c>
      <c r="M1115" s="87">
        <f t="shared" si="229"/>
        <v>105.4</v>
      </c>
      <c r="N1115" s="13">
        <f>N1116</f>
        <v>0</v>
      </c>
      <c r="O1115" s="87">
        <f t="shared" si="230"/>
        <v>105.4</v>
      </c>
      <c r="P1115" s="13">
        <f>P1116</f>
        <v>0</v>
      </c>
      <c r="Q1115" s="87">
        <f t="shared" si="240"/>
        <v>105.4</v>
      </c>
      <c r="R1115" s="13">
        <f>R1116</f>
        <v>0</v>
      </c>
      <c r="S1115" s="87">
        <f t="shared" si="238"/>
        <v>105.4</v>
      </c>
    </row>
    <row r="1116" spans="1:19" ht="33">
      <c r="A1116" s="62" t="str">
        <f ca="1">IF(ISERROR(MATCH(F1116,Код_КВР,0)),"",INDIRECT(ADDRESS(MATCH(F1116,Код_КВР,0)+1,2,,,"КВР")))</f>
        <v>Предоставление субсидий бюджетным, автономным учреждениям и иным некоммерческим организациям</v>
      </c>
      <c r="B1116" s="115">
        <v>808</v>
      </c>
      <c r="C1116" s="8" t="s">
        <v>230</v>
      </c>
      <c r="D1116" s="8" t="s">
        <v>224</v>
      </c>
      <c r="E1116" s="115" t="s">
        <v>105</v>
      </c>
      <c r="F1116" s="115">
        <v>600</v>
      </c>
      <c r="G1116" s="70">
        <f>G1117+G1119</f>
        <v>105.4</v>
      </c>
      <c r="H1116" s="70">
        <f>H1117+H1119</f>
        <v>0</v>
      </c>
      <c r="I1116" s="70">
        <f t="shared" si="233"/>
        <v>105.4</v>
      </c>
      <c r="J1116" s="70">
        <f>J1117+J1119</f>
        <v>0</v>
      </c>
      <c r="K1116" s="87">
        <f t="shared" si="228"/>
        <v>105.4</v>
      </c>
      <c r="L1116" s="13">
        <f>L1117+L1119</f>
        <v>0</v>
      </c>
      <c r="M1116" s="87">
        <f t="shared" si="229"/>
        <v>105.4</v>
      </c>
      <c r="N1116" s="13">
        <f>N1117+N1119</f>
        <v>0</v>
      </c>
      <c r="O1116" s="87">
        <f t="shared" si="230"/>
        <v>105.4</v>
      </c>
      <c r="P1116" s="13">
        <f>P1117+P1119</f>
        <v>0</v>
      </c>
      <c r="Q1116" s="87">
        <f t="shared" si="240"/>
        <v>105.4</v>
      </c>
      <c r="R1116" s="13">
        <f>R1117+R1119</f>
        <v>0</v>
      </c>
      <c r="S1116" s="87">
        <f t="shared" si="238"/>
        <v>105.4</v>
      </c>
    </row>
    <row r="1117" spans="1:19" ht="12.75">
      <c r="A1117" s="62" t="str">
        <f ca="1">IF(ISERROR(MATCH(F1117,Код_КВР,0)),"",INDIRECT(ADDRESS(MATCH(F1117,Код_КВР,0)+1,2,,,"КВР")))</f>
        <v>Субсидии бюджетным учреждениям</v>
      </c>
      <c r="B1117" s="115">
        <v>808</v>
      </c>
      <c r="C1117" s="8" t="s">
        <v>230</v>
      </c>
      <c r="D1117" s="8" t="s">
        <v>224</v>
      </c>
      <c r="E1117" s="115" t="s">
        <v>105</v>
      </c>
      <c r="F1117" s="115">
        <v>610</v>
      </c>
      <c r="G1117" s="70">
        <f>G1118</f>
        <v>55.4</v>
      </c>
      <c r="H1117" s="70">
        <f>H1118</f>
        <v>0</v>
      </c>
      <c r="I1117" s="70">
        <f t="shared" si="233"/>
        <v>55.4</v>
      </c>
      <c r="J1117" s="70">
        <f>J1118</f>
        <v>0</v>
      </c>
      <c r="K1117" s="87">
        <f t="shared" si="228"/>
        <v>55.4</v>
      </c>
      <c r="L1117" s="13">
        <f>L1118</f>
        <v>0</v>
      </c>
      <c r="M1117" s="87">
        <f t="shared" si="229"/>
        <v>55.4</v>
      </c>
      <c r="N1117" s="13">
        <f>N1118</f>
        <v>0</v>
      </c>
      <c r="O1117" s="87">
        <f t="shared" si="230"/>
        <v>55.4</v>
      </c>
      <c r="P1117" s="13">
        <f>P1118</f>
        <v>0</v>
      </c>
      <c r="Q1117" s="87">
        <f t="shared" si="240"/>
        <v>55.4</v>
      </c>
      <c r="R1117" s="13">
        <f>R1118</f>
        <v>0</v>
      </c>
      <c r="S1117" s="87">
        <f t="shared" si="238"/>
        <v>55.4</v>
      </c>
    </row>
    <row r="1118" spans="1:19" ht="12.75">
      <c r="A1118" s="62" t="str">
        <f ca="1">IF(ISERROR(MATCH(F1118,Код_КВР,0)),"",INDIRECT(ADDRESS(MATCH(F1118,Код_КВР,0)+1,2,,,"КВР")))</f>
        <v>Субсидии бюджетным учреждениям на иные цели</v>
      </c>
      <c r="B1118" s="115">
        <v>808</v>
      </c>
      <c r="C1118" s="8" t="s">
        <v>230</v>
      </c>
      <c r="D1118" s="8" t="s">
        <v>224</v>
      </c>
      <c r="E1118" s="115" t="s">
        <v>105</v>
      </c>
      <c r="F1118" s="115">
        <v>612</v>
      </c>
      <c r="G1118" s="70">
        <v>55.4</v>
      </c>
      <c r="H1118" s="70"/>
      <c r="I1118" s="70">
        <f t="shared" si="233"/>
        <v>55.4</v>
      </c>
      <c r="J1118" s="70"/>
      <c r="K1118" s="87">
        <f t="shared" si="228"/>
        <v>55.4</v>
      </c>
      <c r="L1118" s="13"/>
      <c r="M1118" s="87">
        <f t="shared" si="229"/>
        <v>55.4</v>
      </c>
      <c r="N1118" s="13"/>
      <c r="O1118" s="87">
        <f t="shared" si="230"/>
        <v>55.4</v>
      </c>
      <c r="P1118" s="13"/>
      <c r="Q1118" s="87">
        <f t="shared" si="240"/>
        <v>55.4</v>
      </c>
      <c r="R1118" s="13"/>
      <c r="S1118" s="87">
        <f t="shared" si="238"/>
        <v>55.4</v>
      </c>
    </row>
    <row r="1119" spans="1:19" ht="12.75">
      <c r="A1119" s="62" t="str">
        <f ca="1">IF(ISERROR(MATCH(F1119,Код_КВР,0)),"",INDIRECT(ADDRESS(MATCH(F1119,Код_КВР,0)+1,2,,,"КВР")))</f>
        <v>Субсидии автономным учреждениям</v>
      </c>
      <c r="B1119" s="115">
        <v>808</v>
      </c>
      <c r="C1119" s="8" t="s">
        <v>230</v>
      </c>
      <c r="D1119" s="8" t="s">
        <v>224</v>
      </c>
      <c r="E1119" s="115" t="s">
        <v>105</v>
      </c>
      <c r="F1119" s="115">
        <v>620</v>
      </c>
      <c r="G1119" s="70">
        <f>G1120</f>
        <v>50</v>
      </c>
      <c r="H1119" s="70">
        <f>H1120</f>
        <v>0</v>
      </c>
      <c r="I1119" s="70">
        <f t="shared" si="233"/>
        <v>50</v>
      </c>
      <c r="J1119" s="70">
        <f>J1120</f>
        <v>0</v>
      </c>
      <c r="K1119" s="87">
        <f t="shared" si="228"/>
        <v>50</v>
      </c>
      <c r="L1119" s="13">
        <f>L1120</f>
        <v>0</v>
      </c>
      <c r="M1119" s="87">
        <f t="shared" si="229"/>
        <v>50</v>
      </c>
      <c r="N1119" s="13">
        <f>N1120</f>
        <v>0</v>
      </c>
      <c r="O1119" s="87">
        <f t="shared" si="230"/>
        <v>50</v>
      </c>
      <c r="P1119" s="13">
        <f>P1120</f>
        <v>0</v>
      </c>
      <c r="Q1119" s="87">
        <f t="shared" si="240"/>
        <v>50</v>
      </c>
      <c r="R1119" s="13">
        <f>R1120</f>
        <v>0</v>
      </c>
      <c r="S1119" s="87">
        <f t="shared" si="238"/>
        <v>50</v>
      </c>
    </row>
    <row r="1120" spans="1:19" ht="12.75">
      <c r="A1120" s="62" t="str">
        <f ca="1">IF(ISERROR(MATCH(F1120,Код_КВР,0)),"",INDIRECT(ADDRESS(MATCH(F1120,Код_КВР,0)+1,2,,,"КВР")))</f>
        <v>Субсидии автономным учреждениям на иные цели</v>
      </c>
      <c r="B1120" s="115">
        <v>808</v>
      </c>
      <c r="C1120" s="8" t="s">
        <v>230</v>
      </c>
      <c r="D1120" s="8" t="s">
        <v>224</v>
      </c>
      <c r="E1120" s="115" t="s">
        <v>105</v>
      </c>
      <c r="F1120" s="115">
        <v>622</v>
      </c>
      <c r="G1120" s="70">
        <v>50</v>
      </c>
      <c r="H1120" s="70"/>
      <c r="I1120" s="70">
        <f t="shared" si="233"/>
        <v>50</v>
      </c>
      <c r="J1120" s="70"/>
      <c r="K1120" s="87">
        <f t="shared" si="228"/>
        <v>50</v>
      </c>
      <c r="L1120" s="13"/>
      <c r="M1120" s="87">
        <f t="shared" si="229"/>
        <v>50</v>
      </c>
      <c r="N1120" s="13"/>
      <c r="O1120" s="87">
        <f t="shared" si="230"/>
        <v>50</v>
      </c>
      <c r="P1120" s="13"/>
      <c r="Q1120" s="87">
        <f t="shared" si="240"/>
        <v>50</v>
      </c>
      <c r="R1120" s="13"/>
      <c r="S1120" s="87">
        <f t="shared" si="238"/>
        <v>50</v>
      </c>
    </row>
    <row r="1121" spans="1:19" ht="33">
      <c r="A1121" s="62" t="str">
        <f ca="1">IF(ISERROR(MATCH(E1121,Код_КЦСР,0)),"",INDIRECT(ADDRESS(MATCH(E1121,Код_КЦСР,0)+1,2,,,"КЦСР")))</f>
        <v>Непрограммные направления деятельности органов местного самоуправления</v>
      </c>
      <c r="B1121" s="115">
        <v>808</v>
      </c>
      <c r="C1121" s="8" t="s">
        <v>230</v>
      </c>
      <c r="D1121" s="8" t="s">
        <v>224</v>
      </c>
      <c r="E1121" s="115" t="s">
        <v>307</v>
      </c>
      <c r="F1121" s="115"/>
      <c r="G1121" s="70">
        <f aca="true" t="shared" si="242" ref="G1121:R1123">G1122</f>
        <v>8849.3</v>
      </c>
      <c r="H1121" s="70">
        <f t="shared" si="242"/>
        <v>0</v>
      </c>
      <c r="I1121" s="70">
        <f t="shared" si="233"/>
        <v>8849.3</v>
      </c>
      <c r="J1121" s="70">
        <f t="shared" si="242"/>
        <v>36</v>
      </c>
      <c r="K1121" s="87">
        <f t="shared" si="228"/>
        <v>8885.3</v>
      </c>
      <c r="L1121" s="13">
        <f t="shared" si="242"/>
        <v>0</v>
      </c>
      <c r="M1121" s="87">
        <f t="shared" si="229"/>
        <v>8885.3</v>
      </c>
      <c r="N1121" s="13">
        <f t="shared" si="242"/>
        <v>0</v>
      </c>
      <c r="O1121" s="87">
        <f t="shared" si="230"/>
        <v>8885.3</v>
      </c>
      <c r="P1121" s="13">
        <f t="shared" si="242"/>
        <v>0</v>
      </c>
      <c r="Q1121" s="87">
        <f t="shared" si="240"/>
        <v>8885.3</v>
      </c>
      <c r="R1121" s="13">
        <f t="shared" si="242"/>
        <v>0</v>
      </c>
      <c r="S1121" s="87">
        <f t="shared" si="238"/>
        <v>8885.3</v>
      </c>
    </row>
    <row r="1122" spans="1:19" ht="12.75">
      <c r="A1122" s="62" t="str">
        <f ca="1">IF(ISERROR(MATCH(E1122,Код_КЦСР,0)),"",INDIRECT(ADDRESS(MATCH(E1122,Код_КЦСР,0)+1,2,,,"КЦСР")))</f>
        <v>Расходы, не включенные в муниципальные программы города Череповца</v>
      </c>
      <c r="B1122" s="115">
        <v>808</v>
      </c>
      <c r="C1122" s="8" t="s">
        <v>230</v>
      </c>
      <c r="D1122" s="8" t="s">
        <v>224</v>
      </c>
      <c r="E1122" s="115" t="s">
        <v>309</v>
      </c>
      <c r="F1122" s="115"/>
      <c r="G1122" s="70">
        <f t="shared" si="242"/>
        <v>8849.3</v>
      </c>
      <c r="H1122" s="70">
        <f t="shared" si="242"/>
        <v>0</v>
      </c>
      <c r="I1122" s="70">
        <f t="shared" si="233"/>
        <v>8849.3</v>
      </c>
      <c r="J1122" s="70">
        <f>J1123+J1133</f>
        <v>36</v>
      </c>
      <c r="K1122" s="87">
        <f t="shared" si="228"/>
        <v>8885.3</v>
      </c>
      <c r="L1122" s="13">
        <f>L1123+L1133</f>
        <v>0</v>
      </c>
      <c r="M1122" s="87">
        <f t="shared" si="229"/>
        <v>8885.3</v>
      </c>
      <c r="N1122" s="13">
        <f>N1123+N1133</f>
        <v>0</v>
      </c>
      <c r="O1122" s="87">
        <f t="shared" si="230"/>
        <v>8885.3</v>
      </c>
      <c r="P1122" s="13">
        <f>P1123+P1133</f>
        <v>0</v>
      </c>
      <c r="Q1122" s="87">
        <f t="shared" si="240"/>
        <v>8885.3</v>
      </c>
      <c r="R1122" s="13">
        <f>R1123+R1133</f>
        <v>0</v>
      </c>
      <c r="S1122" s="87">
        <f t="shared" si="238"/>
        <v>8885.3</v>
      </c>
    </row>
    <row r="1123" spans="1:19" ht="33">
      <c r="A1123" s="62" t="str">
        <f ca="1">IF(ISERROR(MATCH(E1123,Код_КЦСР,0)),"",INDIRECT(ADDRESS(MATCH(E1123,Код_КЦСР,0)+1,2,,,"КЦСР")))</f>
        <v>Руководство и управление в сфере установленных функций органов местного самоуправления</v>
      </c>
      <c r="B1123" s="115">
        <v>808</v>
      </c>
      <c r="C1123" s="8" t="s">
        <v>230</v>
      </c>
      <c r="D1123" s="8" t="s">
        <v>224</v>
      </c>
      <c r="E1123" s="115" t="s">
        <v>311</v>
      </c>
      <c r="F1123" s="115"/>
      <c r="G1123" s="70">
        <f t="shared" si="242"/>
        <v>8849.3</v>
      </c>
      <c r="H1123" s="70">
        <f t="shared" si="242"/>
        <v>0</v>
      </c>
      <c r="I1123" s="70">
        <f t="shared" si="233"/>
        <v>8849.3</v>
      </c>
      <c r="J1123" s="70">
        <f t="shared" si="242"/>
        <v>0</v>
      </c>
      <c r="K1123" s="87">
        <f aca="true" t="shared" si="243" ref="K1123:K1195">I1123+J1123</f>
        <v>8849.3</v>
      </c>
      <c r="L1123" s="13">
        <f t="shared" si="242"/>
        <v>0</v>
      </c>
      <c r="M1123" s="87">
        <f t="shared" si="229"/>
        <v>8849.3</v>
      </c>
      <c r="N1123" s="13">
        <f t="shared" si="242"/>
        <v>0</v>
      </c>
      <c r="O1123" s="87">
        <f t="shared" si="230"/>
        <v>8849.3</v>
      </c>
      <c r="P1123" s="13">
        <f t="shared" si="242"/>
        <v>0</v>
      </c>
      <c r="Q1123" s="87">
        <f t="shared" si="240"/>
        <v>8849.3</v>
      </c>
      <c r="R1123" s="13">
        <f t="shared" si="242"/>
        <v>0</v>
      </c>
      <c r="S1123" s="87">
        <f t="shared" si="238"/>
        <v>8849.3</v>
      </c>
    </row>
    <row r="1124" spans="1:19" ht="12.75">
      <c r="A1124" s="62" t="str">
        <f ca="1">IF(ISERROR(MATCH(E1124,Код_КЦСР,0)),"",INDIRECT(ADDRESS(MATCH(E1124,Код_КЦСР,0)+1,2,,,"КЦСР")))</f>
        <v>Центральный аппарат</v>
      </c>
      <c r="B1124" s="115">
        <v>808</v>
      </c>
      <c r="C1124" s="8" t="s">
        <v>230</v>
      </c>
      <c r="D1124" s="8" t="s">
        <v>224</v>
      </c>
      <c r="E1124" s="115" t="s">
        <v>314</v>
      </c>
      <c r="F1124" s="115"/>
      <c r="G1124" s="70">
        <f>G1125+G1127+G1130</f>
        <v>8849.3</v>
      </c>
      <c r="H1124" s="70">
        <f>H1125+H1127+H1130</f>
        <v>0</v>
      </c>
      <c r="I1124" s="70">
        <f t="shared" si="233"/>
        <v>8849.3</v>
      </c>
      <c r="J1124" s="70">
        <f>J1125+J1127+J1130</f>
        <v>0</v>
      </c>
      <c r="K1124" s="87">
        <f t="shared" si="243"/>
        <v>8849.3</v>
      </c>
      <c r="L1124" s="13">
        <f>L1125+L1127+L1130</f>
        <v>0</v>
      </c>
      <c r="M1124" s="87">
        <f t="shared" si="229"/>
        <v>8849.3</v>
      </c>
      <c r="N1124" s="13">
        <f>N1125+N1127+N1130</f>
        <v>0</v>
      </c>
      <c r="O1124" s="87">
        <f t="shared" si="230"/>
        <v>8849.3</v>
      </c>
      <c r="P1124" s="13">
        <f>P1125+P1127+P1130</f>
        <v>0</v>
      </c>
      <c r="Q1124" s="87">
        <f t="shared" si="240"/>
        <v>8849.3</v>
      </c>
      <c r="R1124" s="13">
        <f>R1125+R1127+R1130</f>
        <v>0</v>
      </c>
      <c r="S1124" s="87">
        <f t="shared" si="238"/>
        <v>8849.3</v>
      </c>
    </row>
    <row r="1125" spans="1:19" ht="33">
      <c r="A1125" s="62" t="str">
        <f aca="true" t="shared" si="244" ref="A1125:A1131">IF(ISERROR(MATCH(F1125,Код_КВР,0)),"",INDIRECT(ADDRESS(MATCH(F1125,Код_КВР,0)+1,2,,,"КВР")))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25" s="115">
        <v>808</v>
      </c>
      <c r="C1125" s="8" t="s">
        <v>230</v>
      </c>
      <c r="D1125" s="8" t="s">
        <v>224</v>
      </c>
      <c r="E1125" s="115" t="s">
        <v>314</v>
      </c>
      <c r="F1125" s="115">
        <v>100</v>
      </c>
      <c r="G1125" s="70">
        <f>G1126</f>
        <v>8833.5</v>
      </c>
      <c r="H1125" s="70">
        <f>H1126</f>
        <v>0</v>
      </c>
      <c r="I1125" s="70">
        <f t="shared" si="233"/>
        <v>8833.5</v>
      </c>
      <c r="J1125" s="70">
        <f>J1126</f>
        <v>0</v>
      </c>
      <c r="K1125" s="87">
        <f t="shared" si="243"/>
        <v>8833.5</v>
      </c>
      <c r="L1125" s="13">
        <f>L1126</f>
        <v>0</v>
      </c>
      <c r="M1125" s="87">
        <f t="shared" si="229"/>
        <v>8833.5</v>
      </c>
      <c r="N1125" s="13">
        <f>N1126</f>
        <v>0</v>
      </c>
      <c r="O1125" s="87">
        <f t="shared" si="230"/>
        <v>8833.5</v>
      </c>
      <c r="P1125" s="13">
        <f>P1126</f>
        <v>0</v>
      </c>
      <c r="Q1125" s="87">
        <f t="shared" si="240"/>
        <v>8833.5</v>
      </c>
      <c r="R1125" s="13">
        <f>R1126</f>
        <v>0</v>
      </c>
      <c r="S1125" s="87">
        <f t="shared" si="238"/>
        <v>8833.5</v>
      </c>
    </row>
    <row r="1126" spans="1:19" ht="12.75">
      <c r="A1126" s="62" t="str">
        <f ca="1" t="shared" si="244"/>
        <v>Расходы на выплаты персоналу муниципальных органов</v>
      </c>
      <c r="B1126" s="115">
        <v>808</v>
      </c>
      <c r="C1126" s="8" t="s">
        <v>230</v>
      </c>
      <c r="D1126" s="8" t="s">
        <v>224</v>
      </c>
      <c r="E1126" s="115" t="s">
        <v>314</v>
      </c>
      <c r="F1126" s="115">
        <v>120</v>
      </c>
      <c r="G1126" s="70">
        <v>8833.5</v>
      </c>
      <c r="H1126" s="70"/>
      <c r="I1126" s="70">
        <f t="shared" si="233"/>
        <v>8833.5</v>
      </c>
      <c r="J1126" s="70"/>
      <c r="K1126" s="87">
        <f t="shared" si="243"/>
        <v>8833.5</v>
      </c>
      <c r="L1126" s="13"/>
      <c r="M1126" s="87">
        <f t="shared" si="229"/>
        <v>8833.5</v>
      </c>
      <c r="N1126" s="13"/>
      <c r="O1126" s="87">
        <f t="shared" si="230"/>
        <v>8833.5</v>
      </c>
      <c r="P1126" s="13"/>
      <c r="Q1126" s="87">
        <f t="shared" si="240"/>
        <v>8833.5</v>
      </c>
      <c r="R1126" s="13"/>
      <c r="S1126" s="87">
        <f t="shared" si="238"/>
        <v>8833.5</v>
      </c>
    </row>
    <row r="1127" spans="1:19" ht="12.75">
      <c r="A1127" s="62" t="str">
        <f ca="1" t="shared" si="244"/>
        <v>Закупка товаров, работ и услуг для муниципальных нужд</v>
      </c>
      <c r="B1127" s="115">
        <v>808</v>
      </c>
      <c r="C1127" s="8" t="s">
        <v>230</v>
      </c>
      <c r="D1127" s="8" t="s">
        <v>224</v>
      </c>
      <c r="E1127" s="115" t="s">
        <v>314</v>
      </c>
      <c r="F1127" s="115">
        <v>200</v>
      </c>
      <c r="G1127" s="70">
        <f>G1128</f>
        <v>14.3</v>
      </c>
      <c r="H1127" s="70">
        <f>H1128</f>
        <v>0</v>
      </c>
      <c r="I1127" s="70">
        <f t="shared" si="233"/>
        <v>14.3</v>
      </c>
      <c r="J1127" s="70">
        <f>J1128</f>
        <v>0</v>
      </c>
      <c r="K1127" s="87">
        <f t="shared" si="243"/>
        <v>14.3</v>
      </c>
      <c r="L1127" s="13">
        <f>L1128</f>
        <v>0</v>
      </c>
      <c r="M1127" s="87">
        <f t="shared" si="229"/>
        <v>14.3</v>
      </c>
      <c r="N1127" s="13">
        <f>N1128</f>
        <v>0</v>
      </c>
      <c r="O1127" s="87">
        <f t="shared" si="230"/>
        <v>14.3</v>
      </c>
      <c r="P1127" s="13">
        <f>P1128</f>
        <v>0</v>
      </c>
      <c r="Q1127" s="87">
        <f t="shared" si="240"/>
        <v>14.3</v>
      </c>
      <c r="R1127" s="13">
        <f>R1128</f>
        <v>0</v>
      </c>
      <c r="S1127" s="87">
        <f t="shared" si="238"/>
        <v>14.3</v>
      </c>
    </row>
    <row r="1128" spans="1:19" ht="33">
      <c r="A1128" s="62" t="str">
        <f ca="1" t="shared" si="244"/>
        <v>Иные закупки товаров, работ и услуг для обеспечения муниципальных нужд</v>
      </c>
      <c r="B1128" s="115">
        <v>808</v>
      </c>
      <c r="C1128" s="8" t="s">
        <v>230</v>
      </c>
      <c r="D1128" s="8" t="s">
        <v>224</v>
      </c>
      <c r="E1128" s="115" t="s">
        <v>314</v>
      </c>
      <c r="F1128" s="115">
        <v>240</v>
      </c>
      <c r="G1128" s="70">
        <f>G1129</f>
        <v>14.3</v>
      </c>
      <c r="H1128" s="70">
        <f>H1129</f>
        <v>0</v>
      </c>
      <c r="I1128" s="70">
        <f t="shared" si="233"/>
        <v>14.3</v>
      </c>
      <c r="J1128" s="70">
        <f>J1129</f>
        <v>0</v>
      </c>
      <c r="K1128" s="87">
        <f t="shared" si="243"/>
        <v>14.3</v>
      </c>
      <c r="L1128" s="13">
        <f>L1129</f>
        <v>0</v>
      </c>
      <c r="M1128" s="87">
        <f aca="true" t="shared" si="245" ref="M1128:M1191">K1128+L1128</f>
        <v>14.3</v>
      </c>
      <c r="N1128" s="13">
        <f>N1129</f>
        <v>0</v>
      </c>
      <c r="O1128" s="87">
        <f aca="true" t="shared" si="246" ref="O1128:O1191">M1128+N1128</f>
        <v>14.3</v>
      </c>
      <c r="P1128" s="13">
        <f>P1129</f>
        <v>0</v>
      </c>
      <c r="Q1128" s="87">
        <f t="shared" si="240"/>
        <v>14.3</v>
      </c>
      <c r="R1128" s="13">
        <f>R1129</f>
        <v>0</v>
      </c>
      <c r="S1128" s="87">
        <f t="shared" si="238"/>
        <v>14.3</v>
      </c>
    </row>
    <row r="1129" spans="1:19" ht="33">
      <c r="A1129" s="62" t="str">
        <f ca="1" t="shared" si="244"/>
        <v xml:space="preserve">Прочая закупка товаров, работ и услуг для обеспечения муниципальных нужд         </v>
      </c>
      <c r="B1129" s="115">
        <v>808</v>
      </c>
      <c r="C1129" s="8" t="s">
        <v>230</v>
      </c>
      <c r="D1129" s="8" t="s">
        <v>224</v>
      </c>
      <c r="E1129" s="115" t="s">
        <v>314</v>
      </c>
      <c r="F1129" s="115">
        <v>244</v>
      </c>
      <c r="G1129" s="70">
        <v>14.3</v>
      </c>
      <c r="H1129" s="70"/>
      <c r="I1129" s="70">
        <f t="shared" si="233"/>
        <v>14.3</v>
      </c>
      <c r="J1129" s="70"/>
      <c r="K1129" s="87">
        <f t="shared" si="243"/>
        <v>14.3</v>
      </c>
      <c r="L1129" s="13"/>
      <c r="M1129" s="87">
        <f t="shared" si="245"/>
        <v>14.3</v>
      </c>
      <c r="N1129" s="13"/>
      <c r="O1129" s="87">
        <f t="shared" si="246"/>
        <v>14.3</v>
      </c>
      <c r="P1129" s="13"/>
      <c r="Q1129" s="87">
        <f t="shared" si="240"/>
        <v>14.3</v>
      </c>
      <c r="R1129" s="13"/>
      <c r="S1129" s="87">
        <f t="shared" si="238"/>
        <v>14.3</v>
      </c>
    </row>
    <row r="1130" spans="1:19" ht="12.75">
      <c r="A1130" s="62" t="str">
        <f ca="1" t="shared" si="244"/>
        <v>Иные бюджетные ассигнования</v>
      </c>
      <c r="B1130" s="115">
        <v>808</v>
      </c>
      <c r="C1130" s="8" t="s">
        <v>230</v>
      </c>
      <c r="D1130" s="8" t="s">
        <v>224</v>
      </c>
      <c r="E1130" s="115" t="s">
        <v>314</v>
      </c>
      <c r="F1130" s="115">
        <v>800</v>
      </c>
      <c r="G1130" s="70">
        <f>G1131</f>
        <v>1.5</v>
      </c>
      <c r="H1130" s="70">
        <f>H1131</f>
        <v>0</v>
      </c>
      <c r="I1130" s="70">
        <f t="shared" si="233"/>
        <v>1.5</v>
      </c>
      <c r="J1130" s="70">
        <f>J1131</f>
        <v>0</v>
      </c>
      <c r="K1130" s="87">
        <f t="shared" si="243"/>
        <v>1.5</v>
      </c>
      <c r="L1130" s="13">
        <f>L1131</f>
        <v>0</v>
      </c>
      <c r="M1130" s="87">
        <f t="shared" si="245"/>
        <v>1.5</v>
      </c>
      <c r="N1130" s="13">
        <f>N1131</f>
        <v>0</v>
      </c>
      <c r="O1130" s="87">
        <f t="shared" si="246"/>
        <v>1.5</v>
      </c>
      <c r="P1130" s="13">
        <f>P1131</f>
        <v>0</v>
      </c>
      <c r="Q1130" s="87">
        <f t="shared" si="240"/>
        <v>1.5</v>
      </c>
      <c r="R1130" s="13">
        <f>R1131</f>
        <v>0</v>
      </c>
      <c r="S1130" s="87">
        <f t="shared" si="238"/>
        <v>1.5</v>
      </c>
    </row>
    <row r="1131" spans="1:19" ht="12.75">
      <c r="A1131" s="62" t="str">
        <f ca="1" t="shared" si="244"/>
        <v>Уплата налогов, сборов и иных платежей</v>
      </c>
      <c r="B1131" s="115">
        <v>808</v>
      </c>
      <c r="C1131" s="8" t="s">
        <v>230</v>
      </c>
      <c r="D1131" s="8" t="s">
        <v>224</v>
      </c>
      <c r="E1131" s="115" t="s">
        <v>314</v>
      </c>
      <c r="F1131" s="115">
        <v>850</v>
      </c>
      <c r="G1131" s="70">
        <f>G1132</f>
        <v>1.5</v>
      </c>
      <c r="H1131" s="70">
        <f>H1132</f>
        <v>0</v>
      </c>
      <c r="I1131" s="70">
        <f t="shared" si="233"/>
        <v>1.5</v>
      </c>
      <c r="J1131" s="70">
        <f>J1132</f>
        <v>0</v>
      </c>
      <c r="K1131" s="87">
        <f t="shared" si="243"/>
        <v>1.5</v>
      </c>
      <c r="L1131" s="13">
        <f>L1132</f>
        <v>0</v>
      </c>
      <c r="M1131" s="87">
        <f t="shared" si="245"/>
        <v>1.5</v>
      </c>
      <c r="N1131" s="13">
        <f>N1132</f>
        <v>0</v>
      </c>
      <c r="O1131" s="87">
        <f t="shared" si="246"/>
        <v>1.5</v>
      </c>
      <c r="P1131" s="13">
        <f>P1132</f>
        <v>0</v>
      </c>
      <c r="Q1131" s="87">
        <f t="shared" si="240"/>
        <v>1.5</v>
      </c>
      <c r="R1131" s="13">
        <f>R1132</f>
        <v>0</v>
      </c>
      <c r="S1131" s="87">
        <f t="shared" si="238"/>
        <v>1.5</v>
      </c>
    </row>
    <row r="1132" spans="1:19" ht="12.75">
      <c r="A1132" s="62" t="str">
        <f ca="1">IF(ISERROR(MATCH(F1132,Код_КВР,0)),"",INDIRECT(ADDRESS(MATCH(F1132,Код_КВР,0)+1,2,,,"КВР")))</f>
        <v>Уплата прочих налогов, сборов и иных платежей</v>
      </c>
      <c r="B1132" s="115">
        <v>808</v>
      </c>
      <c r="C1132" s="8" t="s">
        <v>230</v>
      </c>
      <c r="D1132" s="8" t="s">
        <v>224</v>
      </c>
      <c r="E1132" s="115" t="s">
        <v>314</v>
      </c>
      <c r="F1132" s="115">
        <v>852</v>
      </c>
      <c r="G1132" s="70">
        <v>1.5</v>
      </c>
      <c r="H1132" s="70"/>
      <c r="I1132" s="70">
        <f t="shared" si="233"/>
        <v>1.5</v>
      </c>
      <c r="J1132" s="70"/>
      <c r="K1132" s="87">
        <f t="shared" si="243"/>
        <v>1.5</v>
      </c>
      <c r="L1132" s="13"/>
      <c r="M1132" s="87">
        <f t="shared" si="245"/>
        <v>1.5</v>
      </c>
      <c r="N1132" s="13"/>
      <c r="O1132" s="87">
        <f t="shared" si="246"/>
        <v>1.5</v>
      </c>
      <c r="P1132" s="13"/>
      <c r="Q1132" s="87">
        <f t="shared" si="240"/>
        <v>1.5</v>
      </c>
      <c r="R1132" s="13"/>
      <c r="S1132" s="87">
        <f t="shared" si="238"/>
        <v>1.5</v>
      </c>
    </row>
    <row r="1133" spans="1:19" ht="12.75">
      <c r="A1133" s="62" t="str">
        <f ca="1">IF(ISERROR(MATCH(E1133,Код_КЦСР,0)),"",INDIRECT(ADDRESS(MATCH(E1133,Код_КЦСР,0)+1,2,,,"КЦСР")))</f>
        <v>Кредиторская задолженность, сложившаяся по итогам 2013 года</v>
      </c>
      <c r="B1133" s="115">
        <v>808</v>
      </c>
      <c r="C1133" s="8" t="s">
        <v>230</v>
      </c>
      <c r="D1133" s="8" t="s">
        <v>224</v>
      </c>
      <c r="E1133" s="115" t="s">
        <v>379</v>
      </c>
      <c r="F1133" s="115"/>
      <c r="G1133" s="70"/>
      <c r="H1133" s="70"/>
      <c r="I1133" s="70"/>
      <c r="J1133" s="70">
        <f>J1134</f>
        <v>36</v>
      </c>
      <c r="K1133" s="87">
        <f t="shared" si="243"/>
        <v>36</v>
      </c>
      <c r="L1133" s="13">
        <f>L1134</f>
        <v>0</v>
      </c>
      <c r="M1133" s="87">
        <f t="shared" si="245"/>
        <v>36</v>
      </c>
      <c r="N1133" s="13">
        <f>N1134</f>
        <v>0</v>
      </c>
      <c r="O1133" s="87">
        <f t="shared" si="246"/>
        <v>36</v>
      </c>
      <c r="P1133" s="13">
        <f>P1134</f>
        <v>0</v>
      </c>
      <c r="Q1133" s="87">
        <f t="shared" si="240"/>
        <v>36</v>
      </c>
      <c r="R1133" s="13">
        <f>R1134</f>
        <v>0</v>
      </c>
      <c r="S1133" s="87">
        <f t="shared" si="238"/>
        <v>36</v>
      </c>
    </row>
    <row r="1134" spans="1:19" ht="33">
      <c r="A1134" s="62" t="str">
        <f ca="1">IF(ISERROR(MATCH(F1134,Код_КВР,0)),"",INDIRECT(ADDRESS(MATCH(F1134,Код_КВР,0)+1,2,,,"КВР")))</f>
        <v>Предоставление субсидий бюджетным, автономным учреждениям и иным некоммерческим организациям</v>
      </c>
      <c r="B1134" s="115">
        <v>808</v>
      </c>
      <c r="C1134" s="8" t="s">
        <v>230</v>
      </c>
      <c r="D1134" s="8" t="s">
        <v>224</v>
      </c>
      <c r="E1134" s="115" t="s">
        <v>379</v>
      </c>
      <c r="F1134" s="115">
        <v>600</v>
      </c>
      <c r="G1134" s="70"/>
      <c r="H1134" s="70"/>
      <c r="I1134" s="70"/>
      <c r="J1134" s="70">
        <f>J1135</f>
        <v>36</v>
      </c>
      <c r="K1134" s="87">
        <f t="shared" si="243"/>
        <v>36</v>
      </c>
      <c r="L1134" s="13">
        <f>L1135</f>
        <v>0</v>
      </c>
      <c r="M1134" s="87">
        <f t="shared" si="245"/>
        <v>36</v>
      </c>
      <c r="N1134" s="13">
        <f>N1135</f>
        <v>0</v>
      </c>
      <c r="O1134" s="87">
        <f t="shared" si="246"/>
        <v>36</v>
      </c>
      <c r="P1134" s="13">
        <f>P1135</f>
        <v>0</v>
      </c>
      <c r="Q1134" s="87">
        <f t="shared" si="240"/>
        <v>36</v>
      </c>
      <c r="R1134" s="13">
        <f>R1135</f>
        <v>0</v>
      </c>
      <c r="S1134" s="87">
        <f t="shared" si="238"/>
        <v>36</v>
      </c>
    </row>
    <row r="1135" spans="1:19" ht="12.75">
      <c r="A1135" s="62" t="str">
        <f ca="1">IF(ISERROR(MATCH(F1135,Код_КВР,0)),"",INDIRECT(ADDRESS(MATCH(F1135,Код_КВР,0)+1,2,,,"КВР")))</f>
        <v>Субсидии бюджетным учреждениям</v>
      </c>
      <c r="B1135" s="115">
        <v>808</v>
      </c>
      <c r="C1135" s="8" t="s">
        <v>230</v>
      </c>
      <c r="D1135" s="8" t="s">
        <v>224</v>
      </c>
      <c r="E1135" s="115" t="s">
        <v>379</v>
      </c>
      <c r="F1135" s="115">
        <v>610</v>
      </c>
      <c r="G1135" s="70"/>
      <c r="H1135" s="70"/>
      <c r="I1135" s="70"/>
      <c r="J1135" s="70">
        <f>J1136</f>
        <v>36</v>
      </c>
      <c r="K1135" s="87">
        <f t="shared" si="243"/>
        <v>36</v>
      </c>
      <c r="L1135" s="13">
        <f>L1136</f>
        <v>0</v>
      </c>
      <c r="M1135" s="87">
        <f t="shared" si="245"/>
        <v>36</v>
      </c>
      <c r="N1135" s="13">
        <f>N1136</f>
        <v>0</v>
      </c>
      <c r="O1135" s="87">
        <f t="shared" si="246"/>
        <v>36</v>
      </c>
      <c r="P1135" s="13">
        <f>P1136</f>
        <v>0</v>
      </c>
      <c r="Q1135" s="87">
        <f t="shared" si="240"/>
        <v>36</v>
      </c>
      <c r="R1135" s="13">
        <f>R1136</f>
        <v>0</v>
      </c>
      <c r="S1135" s="87">
        <f t="shared" si="238"/>
        <v>36</v>
      </c>
    </row>
    <row r="1136" spans="1:19" ht="12.75">
      <c r="A1136" s="62" t="str">
        <f ca="1">IF(ISERROR(MATCH(F1136,Код_КВР,0)),"",INDIRECT(ADDRESS(MATCH(F1136,Код_КВР,0)+1,2,,,"КВР")))</f>
        <v>Субсидии бюджетным учреждениям на иные цели</v>
      </c>
      <c r="B1136" s="115">
        <v>808</v>
      </c>
      <c r="C1136" s="8" t="s">
        <v>230</v>
      </c>
      <c r="D1136" s="8" t="s">
        <v>224</v>
      </c>
      <c r="E1136" s="115" t="s">
        <v>379</v>
      </c>
      <c r="F1136" s="115">
        <v>612</v>
      </c>
      <c r="G1136" s="70"/>
      <c r="H1136" s="70"/>
      <c r="I1136" s="70"/>
      <c r="J1136" s="70">
        <v>36</v>
      </c>
      <c r="K1136" s="87">
        <f t="shared" si="243"/>
        <v>36</v>
      </c>
      <c r="L1136" s="13"/>
      <c r="M1136" s="87">
        <f t="shared" si="245"/>
        <v>36</v>
      </c>
      <c r="N1136" s="13"/>
      <c r="O1136" s="87">
        <f t="shared" si="246"/>
        <v>36</v>
      </c>
      <c r="P1136" s="13"/>
      <c r="Q1136" s="87">
        <f t="shared" si="240"/>
        <v>36</v>
      </c>
      <c r="R1136" s="13"/>
      <c r="S1136" s="87">
        <f t="shared" si="238"/>
        <v>36</v>
      </c>
    </row>
    <row r="1137" spans="1:19" ht="12.75">
      <c r="A1137" s="62" t="str">
        <f ca="1">IF(ISERROR(MATCH(B1137,Код_ППП,0)),"",INDIRECT(ADDRESS(MATCH(B1137,Код_ППП,0)+1,2,,,"ППП")))</f>
        <v>КОМИТЕТ ПО ФИЗИЧЕСКОЙ КУЛЬТУРЕ И СПОРТУ МЭРИИ ГОРОДА</v>
      </c>
      <c r="B1137" s="115">
        <v>809</v>
      </c>
      <c r="C1137" s="8"/>
      <c r="D1137" s="8"/>
      <c r="E1137" s="115"/>
      <c r="F1137" s="115"/>
      <c r="G1137" s="70">
        <f>G1138+G1173</f>
        <v>338730.7</v>
      </c>
      <c r="H1137" s="70">
        <f>H1138+H1173</f>
        <v>0</v>
      </c>
      <c r="I1137" s="70">
        <f t="shared" si="233"/>
        <v>338730.7</v>
      </c>
      <c r="J1137" s="70">
        <f>J1138+J1173</f>
        <v>1981.2</v>
      </c>
      <c r="K1137" s="87">
        <f t="shared" si="243"/>
        <v>340711.9</v>
      </c>
      <c r="L1137" s="13">
        <f>L1138+L1173</f>
        <v>-80.7</v>
      </c>
      <c r="M1137" s="87">
        <f t="shared" si="245"/>
        <v>340631.2</v>
      </c>
      <c r="N1137" s="13">
        <f>N1138+N1173</f>
        <v>0</v>
      </c>
      <c r="O1137" s="87">
        <f t="shared" si="246"/>
        <v>340631.2</v>
      </c>
      <c r="P1137" s="13">
        <f>P1138+P1173</f>
        <v>-3959.5</v>
      </c>
      <c r="Q1137" s="87">
        <f t="shared" si="240"/>
        <v>336671.7</v>
      </c>
      <c r="R1137" s="13">
        <f>R1138+R1173</f>
        <v>-9775</v>
      </c>
      <c r="S1137" s="87">
        <f t="shared" si="238"/>
        <v>326896.7</v>
      </c>
    </row>
    <row r="1138" spans="1:19" ht="12.75">
      <c r="A1138" s="62" t="str">
        <f ca="1">IF(ISERROR(MATCH(C1138,Код_Раздел,0)),"",INDIRECT(ADDRESS(MATCH(C1138,Код_Раздел,0)+1,2,,,"Раздел")))</f>
        <v>Образование</v>
      </c>
      <c r="B1138" s="115">
        <v>809</v>
      </c>
      <c r="C1138" s="8" t="s">
        <v>203</v>
      </c>
      <c r="D1138" s="8"/>
      <c r="E1138" s="115"/>
      <c r="F1138" s="115"/>
      <c r="G1138" s="70">
        <f>G1139+G1152</f>
        <v>123263.6</v>
      </c>
      <c r="H1138" s="70">
        <f>H1139+H1152</f>
        <v>908.8</v>
      </c>
      <c r="I1138" s="70">
        <f t="shared" si="233"/>
        <v>124172.40000000001</v>
      </c>
      <c r="J1138" s="70">
        <f>J1139+J1147+J1152</f>
        <v>471.29999999999995</v>
      </c>
      <c r="K1138" s="87">
        <f t="shared" si="243"/>
        <v>124643.70000000001</v>
      </c>
      <c r="L1138" s="13">
        <f>L1139+L1147+L1152</f>
        <v>-80.7</v>
      </c>
      <c r="M1138" s="87">
        <f t="shared" si="245"/>
        <v>124563.00000000001</v>
      </c>
      <c r="N1138" s="13">
        <f>N1139+N1147+N1152</f>
        <v>0</v>
      </c>
      <c r="O1138" s="87">
        <f t="shared" si="246"/>
        <v>124563.00000000001</v>
      </c>
      <c r="P1138" s="13">
        <f>P1139+P1147+P1152</f>
        <v>0</v>
      </c>
      <c r="Q1138" s="87">
        <f t="shared" si="240"/>
        <v>124563.00000000001</v>
      </c>
      <c r="R1138" s="13">
        <f>R1139+R1147+R1152</f>
        <v>0</v>
      </c>
      <c r="S1138" s="87">
        <f t="shared" si="238"/>
        <v>124563.00000000001</v>
      </c>
    </row>
    <row r="1139" spans="1:19" ht="12.75">
      <c r="A1139" s="12" t="s">
        <v>258</v>
      </c>
      <c r="B1139" s="115">
        <v>809</v>
      </c>
      <c r="C1139" s="8" t="s">
        <v>203</v>
      </c>
      <c r="D1139" s="8" t="s">
        <v>222</v>
      </c>
      <c r="E1139" s="115"/>
      <c r="F1139" s="115"/>
      <c r="G1139" s="70">
        <f aca="true" t="shared" si="247" ref="G1139:R1141">G1140</f>
        <v>115476.5</v>
      </c>
      <c r="H1139" s="70">
        <f t="shared" si="247"/>
        <v>908.8</v>
      </c>
      <c r="I1139" s="70">
        <f t="shared" si="233"/>
        <v>116385.3</v>
      </c>
      <c r="J1139" s="70">
        <f t="shared" si="247"/>
        <v>0</v>
      </c>
      <c r="K1139" s="87">
        <f t="shared" si="243"/>
        <v>116385.3</v>
      </c>
      <c r="L1139" s="13">
        <f t="shared" si="247"/>
        <v>-80.7</v>
      </c>
      <c r="M1139" s="87">
        <f t="shared" si="245"/>
        <v>116304.6</v>
      </c>
      <c r="N1139" s="13">
        <f t="shared" si="247"/>
        <v>0</v>
      </c>
      <c r="O1139" s="87">
        <f t="shared" si="246"/>
        <v>116304.6</v>
      </c>
      <c r="P1139" s="13">
        <f t="shared" si="247"/>
        <v>0</v>
      </c>
      <c r="Q1139" s="87">
        <f t="shared" si="240"/>
        <v>116304.6</v>
      </c>
      <c r="R1139" s="13">
        <f t="shared" si="247"/>
        <v>0</v>
      </c>
      <c r="S1139" s="87">
        <f t="shared" si="238"/>
        <v>116304.6</v>
      </c>
    </row>
    <row r="1140" spans="1:19" ht="33">
      <c r="A1140" s="62" t="str">
        <f ca="1">IF(ISERROR(MATCH(E1140,Код_КЦСР,0)),"",INDIRECT(ADDRESS(MATCH(E1140,Код_КЦСР,0)+1,2,,,"КЦСР")))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40" s="115">
        <v>809</v>
      </c>
      <c r="C1140" s="8" t="s">
        <v>203</v>
      </c>
      <c r="D1140" s="8" t="s">
        <v>222</v>
      </c>
      <c r="E1140" s="115" t="s">
        <v>532</v>
      </c>
      <c r="F1140" s="115"/>
      <c r="G1140" s="70">
        <f t="shared" si="247"/>
        <v>115476.5</v>
      </c>
      <c r="H1140" s="70">
        <f t="shared" si="247"/>
        <v>908.8</v>
      </c>
      <c r="I1140" s="70">
        <f t="shared" si="233"/>
        <v>116385.3</v>
      </c>
      <c r="J1140" s="70">
        <f t="shared" si="247"/>
        <v>0</v>
      </c>
      <c r="K1140" s="87">
        <f t="shared" si="243"/>
        <v>116385.3</v>
      </c>
      <c r="L1140" s="13">
        <f t="shared" si="247"/>
        <v>-80.7</v>
      </c>
      <c r="M1140" s="87">
        <f t="shared" si="245"/>
        <v>116304.6</v>
      </c>
      <c r="N1140" s="13">
        <f t="shared" si="247"/>
        <v>0</v>
      </c>
      <c r="O1140" s="87">
        <f t="shared" si="246"/>
        <v>116304.6</v>
      </c>
      <c r="P1140" s="13">
        <f t="shared" si="247"/>
        <v>0</v>
      </c>
      <c r="Q1140" s="87">
        <f t="shared" si="240"/>
        <v>116304.6</v>
      </c>
      <c r="R1140" s="13">
        <f t="shared" si="247"/>
        <v>0</v>
      </c>
      <c r="S1140" s="87">
        <f t="shared" si="238"/>
        <v>116304.6</v>
      </c>
    </row>
    <row r="1141" spans="1:19" ht="12.75">
      <c r="A1141" s="62" t="str">
        <f ca="1">IF(ISERROR(MATCH(E1141,Код_КЦСР,0)),"",INDIRECT(ADDRESS(MATCH(E1141,Код_КЦСР,0)+1,2,,,"КЦСР")))</f>
        <v>Реализация  дополнительных общеобразовательных программ</v>
      </c>
      <c r="B1141" s="115">
        <v>809</v>
      </c>
      <c r="C1141" s="8" t="s">
        <v>203</v>
      </c>
      <c r="D1141" s="8" t="s">
        <v>222</v>
      </c>
      <c r="E1141" s="115" t="s">
        <v>537</v>
      </c>
      <c r="F1141" s="115"/>
      <c r="G1141" s="70">
        <f t="shared" si="247"/>
        <v>115476.5</v>
      </c>
      <c r="H1141" s="70">
        <f t="shared" si="247"/>
        <v>908.8</v>
      </c>
      <c r="I1141" s="70">
        <f t="shared" si="233"/>
        <v>116385.3</v>
      </c>
      <c r="J1141" s="70">
        <f t="shared" si="247"/>
        <v>0</v>
      </c>
      <c r="K1141" s="87">
        <f t="shared" si="243"/>
        <v>116385.3</v>
      </c>
      <c r="L1141" s="13">
        <f t="shared" si="247"/>
        <v>-80.7</v>
      </c>
      <c r="M1141" s="87">
        <f t="shared" si="245"/>
        <v>116304.6</v>
      </c>
      <c r="N1141" s="13">
        <f t="shared" si="247"/>
        <v>0</v>
      </c>
      <c r="O1141" s="87">
        <f t="shared" si="246"/>
        <v>116304.6</v>
      </c>
      <c r="P1141" s="13">
        <f t="shared" si="247"/>
        <v>0</v>
      </c>
      <c r="Q1141" s="87">
        <f t="shared" si="240"/>
        <v>116304.6</v>
      </c>
      <c r="R1141" s="13">
        <f t="shared" si="247"/>
        <v>0</v>
      </c>
      <c r="S1141" s="87">
        <f t="shared" si="238"/>
        <v>116304.6</v>
      </c>
    </row>
    <row r="1142" spans="1:19" ht="33">
      <c r="A1142" s="62" t="str">
        <f ca="1">IF(ISERROR(MATCH(F1142,Код_КВР,0)),"",INDIRECT(ADDRESS(MATCH(F1142,Код_КВР,0)+1,2,,,"КВР")))</f>
        <v>Предоставление субсидий бюджетным, автономным учреждениям и иным некоммерческим организациям</v>
      </c>
      <c r="B1142" s="115">
        <v>809</v>
      </c>
      <c r="C1142" s="42" t="s">
        <v>203</v>
      </c>
      <c r="D1142" s="8" t="s">
        <v>222</v>
      </c>
      <c r="E1142" s="115" t="s">
        <v>537</v>
      </c>
      <c r="F1142" s="115">
        <v>600</v>
      </c>
      <c r="G1142" s="70">
        <f>G1143+G1145</f>
        <v>115476.5</v>
      </c>
      <c r="H1142" s="70">
        <f>H1143+H1145</f>
        <v>908.8</v>
      </c>
      <c r="I1142" s="70">
        <f aca="true" t="shared" si="248" ref="I1142:I1210">G1142+H1142</f>
        <v>116385.3</v>
      </c>
      <c r="J1142" s="70">
        <f>J1143+J1145</f>
        <v>0</v>
      </c>
      <c r="K1142" s="87">
        <f t="shared" si="243"/>
        <v>116385.3</v>
      </c>
      <c r="L1142" s="13">
        <f>L1143+L1145</f>
        <v>-80.7</v>
      </c>
      <c r="M1142" s="87">
        <f t="shared" si="245"/>
        <v>116304.6</v>
      </c>
      <c r="N1142" s="13">
        <f>N1143+N1145</f>
        <v>0</v>
      </c>
      <c r="O1142" s="87">
        <f t="shared" si="246"/>
        <v>116304.6</v>
      </c>
      <c r="P1142" s="13">
        <f>P1143+P1145</f>
        <v>0</v>
      </c>
      <c r="Q1142" s="87">
        <f t="shared" si="240"/>
        <v>116304.6</v>
      </c>
      <c r="R1142" s="13">
        <f>R1143+R1145</f>
        <v>0</v>
      </c>
      <c r="S1142" s="87">
        <f t="shared" si="238"/>
        <v>116304.6</v>
      </c>
    </row>
    <row r="1143" spans="1:19" ht="12.75">
      <c r="A1143" s="62" t="str">
        <f ca="1">IF(ISERROR(MATCH(F1143,Код_КВР,0)),"",INDIRECT(ADDRESS(MATCH(F1143,Код_КВР,0)+1,2,,,"КВР")))</f>
        <v>Субсидии бюджетным учреждениям</v>
      </c>
      <c r="B1143" s="115">
        <v>809</v>
      </c>
      <c r="C1143" s="42" t="s">
        <v>203</v>
      </c>
      <c r="D1143" s="8" t="s">
        <v>222</v>
      </c>
      <c r="E1143" s="115" t="s">
        <v>537</v>
      </c>
      <c r="F1143" s="115">
        <v>610</v>
      </c>
      <c r="G1143" s="70">
        <f>G1144</f>
        <v>98039.6</v>
      </c>
      <c r="H1143" s="70">
        <f>H1144</f>
        <v>908.8</v>
      </c>
      <c r="I1143" s="70">
        <f t="shared" si="248"/>
        <v>98948.40000000001</v>
      </c>
      <c r="J1143" s="70">
        <f>J1144</f>
        <v>0</v>
      </c>
      <c r="K1143" s="87">
        <f t="shared" si="243"/>
        <v>98948.40000000001</v>
      </c>
      <c r="L1143" s="13">
        <f>L1144</f>
        <v>-73.2</v>
      </c>
      <c r="M1143" s="87">
        <f t="shared" si="245"/>
        <v>98875.20000000001</v>
      </c>
      <c r="N1143" s="13">
        <f>N1144</f>
        <v>0</v>
      </c>
      <c r="O1143" s="87">
        <f t="shared" si="246"/>
        <v>98875.20000000001</v>
      </c>
      <c r="P1143" s="13">
        <f>P1144</f>
        <v>0</v>
      </c>
      <c r="Q1143" s="87">
        <f t="shared" si="240"/>
        <v>98875.20000000001</v>
      </c>
      <c r="R1143" s="13">
        <f>R1144</f>
        <v>-854.3</v>
      </c>
      <c r="S1143" s="87">
        <f t="shared" si="238"/>
        <v>98020.90000000001</v>
      </c>
    </row>
    <row r="1144" spans="1:19" ht="49.5">
      <c r="A1144" s="62" t="str">
        <f ca="1">IF(ISERROR(MATCH(F1144,Код_КВР,0)),"",INDIRECT(ADDRESS(MATCH(F1144,Код_КВР,0)+1,2,,,"КВР")))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4" s="115">
        <v>809</v>
      </c>
      <c r="C1144" s="42" t="s">
        <v>203</v>
      </c>
      <c r="D1144" s="8" t="s">
        <v>222</v>
      </c>
      <c r="E1144" s="115" t="s">
        <v>537</v>
      </c>
      <c r="F1144" s="115">
        <v>611</v>
      </c>
      <c r="G1144" s="70">
        <v>98039.6</v>
      </c>
      <c r="H1144" s="70">
        <v>908.8</v>
      </c>
      <c r="I1144" s="70">
        <f t="shared" si="248"/>
        <v>98948.40000000001</v>
      </c>
      <c r="J1144" s="70"/>
      <c r="K1144" s="87">
        <f t="shared" si="243"/>
        <v>98948.40000000001</v>
      </c>
      <c r="L1144" s="13">
        <v>-73.2</v>
      </c>
      <c r="M1144" s="87">
        <f t="shared" si="245"/>
        <v>98875.20000000001</v>
      </c>
      <c r="N1144" s="13"/>
      <c r="O1144" s="87">
        <f t="shared" si="246"/>
        <v>98875.20000000001</v>
      </c>
      <c r="P1144" s="13"/>
      <c r="Q1144" s="87">
        <f t="shared" si="240"/>
        <v>98875.20000000001</v>
      </c>
      <c r="R1144" s="13">
        <v>-854.3</v>
      </c>
      <c r="S1144" s="87">
        <f t="shared" si="238"/>
        <v>98020.90000000001</v>
      </c>
    </row>
    <row r="1145" spans="1:19" ht="12.75">
      <c r="A1145" s="62" t="str">
        <f ca="1">IF(ISERROR(MATCH(F1145,Код_КВР,0)),"",INDIRECT(ADDRESS(MATCH(F1145,Код_КВР,0)+1,2,,,"КВР")))</f>
        <v>Субсидии автономным учреждениям</v>
      </c>
      <c r="B1145" s="115">
        <v>809</v>
      </c>
      <c r="C1145" s="42" t="s">
        <v>203</v>
      </c>
      <c r="D1145" s="8" t="s">
        <v>222</v>
      </c>
      <c r="E1145" s="115" t="s">
        <v>537</v>
      </c>
      <c r="F1145" s="115">
        <v>620</v>
      </c>
      <c r="G1145" s="70">
        <f>G1146</f>
        <v>17436.9</v>
      </c>
      <c r="H1145" s="70">
        <f>H1146</f>
        <v>0</v>
      </c>
      <c r="I1145" s="70">
        <f t="shared" si="248"/>
        <v>17436.9</v>
      </c>
      <c r="J1145" s="70">
        <f>J1146</f>
        <v>0</v>
      </c>
      <c r="K1145" s="87">
        <f t="shared" si="243"/>
        <v>17436.9</v>
      </c>
      <c r="L1145" s="13">
        <f>L1146</f>
        <v>-7.5</v>
      </c>
      <c r="M1145" s="87">
        <f t="shared" si="245"/>
        <v>17429.4</v>
      </c>
      <c r="N1145" s="13">
        <f>N1146</f>
        <v>0</v>
      </c>
      <c r="O1145" s="87">
        <f t="shared" si="246"/>
        <v>17429.4</v>
      </c>
      <c r="P1145" s="13">
        <f>P1146</f>
        <v>0</v>
      </c>
      <c r="Q1145" s="87">
        <f t="shared" si="240"/>
        <v>17429.4</v>
      </c>
      <c r="R1145" s="13">
        <f>R1146</f>
        <v>854.3</v>
      </c>
      <c r="S1145" s="87">
        <f t="shared" si="238"/>
        <v>18283.7</v>
      </c>
    </row>
    <row r="1146" spans="1:19" ht="49.5">
      <c r="A1146" s="62" t="str">
        <f ca="1">IF(ISERROR(MATCH(F1146,Код_КВР,0)),"",INDIRECT(ADDRESS(MATCH(F1146,Код_КВР,0)+1,2,,,"КВР")))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46" s="115">
        <v>809</v>
      </c>
      <c r="C1146" s="42" t="s">
        <v>203</v>
      </c>
      <c r="D1146" s="8" t="s">
        <v>222</v>
      </c>
      <c r="E1146" s="115" t="s">
        <v>537</v>
      </c>
      <c r="F1146" s="115">
        <v>621</v>
      </c>
      <c r="G1146" s="70">
        <v>17436.9</v>
      </c>
      <c r="H1146" s="70"/>
      <c r="I1146" s="70">
        <f t="shared" si="248"/>
        <v>17436.9</v>
      </c>
      <c r="J1146" s="70"/>
      <c r="K1146" s="87">
        <f t="shared" si="243"/>
        <v>17436.9</v>
      </c>
      <c r="L1146" s="13">
        <v>-7.5</v>
      </c>
      <c r="M1146" s="87">
        <f t="shared" si="245"/>
        <v>17429.4</v>
      </c>
      <c r="N1146" s="13"/>
      <c r="O1146" s="87">
        <f t="shared" si="246"/>
        <v>17429.4</v>
      </c>
      <c r="P1146" s="13"/>
      <c r="Q1146" s="87">
        <f t="shared" si="240"/>
        <v>17429.4</v>
      </c>
      <c r="R1146" s="13">
        <v>854.3</v>
      </c>
      <c r="S1146" s="87">
        <f t="shared" si="238"/>
        <v>18283.7</v>
      </c>
    </row>
    <row r="1147" spans="1:19" ht="12.75">
      <c r="A1147" s="12" t="s">
        <v>207</v>
      </c>
      <c r="B1147" s="115">
        <v>809</v>
      </c>
      <c r="C1147" s="8" t="s">
        <v>203</v>
      </c>
      <c r="D1147" s="8" t="s">
        <v>203</v>
      </c>
      <c r="E1147" s="115"/>
      <c r="F1147" s="115"/>
      <c r="G1147" s="70"/>
      <c r="H1147" s="70"/>
      <c r="I1147" s="70"/>
      <c r="J1147" s="70">
        <f>J1148</f>
        <v>381.2</v>
      </c>
      <c r="K1147" s="87">
        <f t="shared" si="243"/>
        <v>381.2</v>
      </c>
      <c r="L1147" s="13">
        <f>L1148</f>
        <v>0</v>
      </c>
      <c r="M1147" s="87">
        <f t="shared" si="245"/>
        <v>381.2</v>
      </c>
      <c r="N1147" s="13">
        <f>N1148</f>
        <v>0</v>
      </c>
      <c r="O1147" s="87">
        <f t="shared" si="246"/>
        <v>381.2</v>
      </c>
      <c r="P1147" s="13">
        <f>P1148</f>
        <v>0</v>
      </c>
      <c r="Q1147" s="87">
        <f t="shared" si="240"/>
        <v>381.2</v>
      </c>
      <c r="R1147" s="13">
        <f>R1148</f>
        <v>0</v>
      </c>
      <c r="S1147" s="87">
        <f t="shared" si="238"/>
        <v>381.2</v>
      </c>
    </row>
    <row r="1148" spans="1:19" ht="33">
      <c r="A1148" s="62" t="str">
        <f ca="1">IF(ISERROR(MATCH(E1148,Код_КЦСР,0)),"",INDIRECT(ADDRESS(MATCH(E1148,Код_КЦСР,0)+1,2,,,"КЦСР")))</f>
        <v>Муниципальная программа «Социальная поддержка граждан» на 2014-2018 годы</v>
      </c>
      <c r="B1148" s="115">
        <v>809</v>
      </c>
      <c r="C1148" s="8" t="s">
        <v>203</v>
      </c>
      <c r="D1148" s="8" t="s">
        <v>203</v>
      </c>
      <c r="E1148" s="115" t="s">
        <v>6</v>
      </c>
      <c r="F1148" s="115"/>
      <c r="G1148" s="70"/>
      <c r="H1148" s="70"/>
      <c r="I1148" s="70"/>
      <c r="J1148" s="70">
        <f>J1149</f>
        <v>381.2</v>
      </c>
      <c r="K1148" s="87">
        <f t="shared" si="243"/>
        <v>381.2</v>
      </c>
      <c r="L1148" s="13">
        <f>L1149</f>
        <v>0</v>
      </c>
      <c r="M1148" s="87">
        <f t="shared" si="245"/>
        <v>381.2</v>
      </c>
      <c r="N1148" s="13">
        <f>N1149</f>
        <v>0</v>
      </c>
      <c r="O1148" s="87">
        <f t="shared" si="246"/>
        <v>381.2</v>
      </c>
      <c r="P1148" s="13">
        <f>P1149</f>
        <v>0</v>
      </c>
      <c r="Q1148" s="87">
        <f t="shared" si="240"/>
        <v>381.2</v>
      </c>
      <c r="R1148" s="13">
        <f>R1149</f>
        <v>0</v>
      </c>
      <c r="S1148" s="87">
        <f t="shared" si="238"/>
        <v>381.2</v>
      </c>
    </row>
    <row r="1149" spans="1:19" ht="33">
      <c r="A1149" s="62" t="str">
        <f ca="1">IF(ISERROR(MATCH(F1149,Код_КВР,0)),"",INDIRECT(ADDRESS(MATCH(F1149,Код_КВР,0)+1,2,,,"КВР")))</f>
        <v>Предоставление субсидий бюджетным, автономным учреждениям и иным некоммерческим организациям</v>
      </c>
      <c r="B1149" s="115">
        <v>809</v>
      </c>
      <c r="C1149" s="8" t="s">
        <v>203</v>
      </c>
      <c r="D1149" s="8" t="s">
        <v>203</v>
      </c>
      <c r="E1149" s="115" t="s">
        <v>414</v>
      </c>
      <c r="F1149" s="115">
        <v>600</v>
      </c>
      <c r="G1149" s="70"/>
      <c r="H1149" s="70"/>
      <c r="I1149" s="70"/>
      <c r="J1149" s="70">
        <f>J1150</f>
        <v>381.2</v>
      </c>
      <c r="K1149" s="87">
        <f t="shared" si="243"/>
        <v>381.2</v>
      </c>
      <c r="L1149" s="13">
        <f>L1150</f>
        <v>0</v>
      </c>
      <c r="M1149" s="87">
        <f t="shared" si="245"/>
        <v>381.2</v>
      </c>
      <c r="N1149" s="13">
        <f>N1150</f>
        <v>0</v>
      </c>
      <c r="O1149" s="87">
        <f t="shared" si="246"/>
        <v>381.2</v>
      </c>
      <c r="P1149" s="13">
        <f>P1150</f>
        <v>0</v>
      </c>
      <c r="Q1149" s="87">
        <f t="shared" si="240"/>
        <v>381.2</v>
      </c>
      <c r="R1149" s="13">
        <f>R1150</f>
        <v>0</v>
      </c>
      <c r="S1149" s="87">
        <f t="shared" si="238"/>
        <v>381.2</v>
      </c>
    </row>
    <row r="1150" spans="1:19" ht="12.75">
      <c r="A1150" s="62" t="str">
        <f ca="1">IF(ISERROR(MATCH(F1150,Код_КВР,0)),"",INDIRECT(ADDRESS(MATCH(F1150,Код_КВР,0)+1,2,,,"КВР")))</f>
        <v>Субсидии бюджетным учреждениям</v>
      </c>
      <c r="B1150" s="115">
        <v>809</v>
      </c>
      <c r="C1150" s="8" t="s">
        <v>203</v>
      </c>
      <c r="D1150" s="8" t="s">
        <v>203</v>
      </c>
      <c r="E1150" s="115" t="s">
        <v>414</v>
      </c>
      <c r="F1150" s="115">
        <v>610</v>
      </c>
      <c r="G1150" s="70"/>
      <c r="H1150" s="70"/>
      <c r="I1150" s="70"/>
      <c r="J1150" s="70">
        <f>J1151</f>
        <v>381.2</v>
      </c>
      <c r="K1150" s="87">
        <f t="shared" si="243"/>
        <v>381.2</v>
      </c>
      <c r="L1150" s="13">
        <f>L1151</f>
        <v>0</v>
      </c>
      <c r="M1150" s="87">
        <f t="shared" si="245"/>
        <v>381.2</v>
      </c>
      <c r="N1150" s="13">
        <f>N1151</f>
        <v>0</v>
      </c>
      <c r="O1150" s="87">
        <f t="shared" si="246"/>
        <v>381.2</v>
      </c>
      <c r="P1150" s="13">
        <f>P1151</f>
        <v>0</v>
      </c>
      <c r="Q1150" s="87">
        <f t="shared" si="240"/>
        <v>381.2</v>
      </c>
      <c r="R1150" s="13">
        <f>R1151</f>
        <v>0</v>
      </c>
      <c r="S1150" s="87">
        <f t="shared" si="238"/>
        <v>381.2</v>
      </c>
    </row>
    <row r="1151" spans="1:19" ht="12.75">
      <c r="A1151" s="62" t="str">
        <f ca="1">IF(ISERROR(MATCH(F1151,Код_КВР,0)),"",INDIRECT(ADDRESS(MATCH(F1151,Код_КВР,0)+1,2,,,"КВР")))</f>
        <v>Субсидии бюджетным учреждениям на иные цели</v>
      </c>
      <c r="B1151" s="115">
        <v>809</v>
      </c>
      <c r="C1151" s="8" t="s">
        <v>203</v>
      </c>
      <c r="D1151" s="8" t="s">
        <v>203</v>
      </c>
      <c r="E1151" s="115" t="s">
        <v>414</v>
      </c>
      <c r="F1151" s="115">
        <v>612</v>
      </c>
      <c r="G1151" s="70"/>
      <c r="H1151" s="70"/>
      <c r="I1151" s="70"/>
      <c r="J1151" s="70">
        <v>381.2</v>
      </c>
      <c r="K1151" s="87">
        <f t="shared" si="243"/>
        <v>381.2</v>
      </c>
      <c r="L1151" s="13"/>
      <c r="M1151" s="87">
        <f t="shared" si="245"/>
        <v>381.2</v>
      </c>
      <c r="N1151" s="13"/>
      <c r="O1151" s="87">
        <f t="shared" si="246"/>
        <v>381.2</v>
      </c>
      <c r="P1151" s="13"/>
      <c r="Q1151" s="87">
        <f t="shared" si="240"/>
        <v>381.2</v>
      </c>
      <c r="R1151" s="13"/>
      <c r="S1151" s="87">
        <f t="shared" si="238"/>
        <v>381.2</v>
      </c>
    </row>
    <row r="1152" spans="1:19" ht="12.75">
      <c r="A1152" s="12" t="s">
        <v>259</v>
      </c>
      <c r="B1152" s="115">
        <v>809</v>
      </c>
      <c r="C1152" s="8" t="s">
        <v>203</v>
      </c>
      <c r="D1152" s="8" t="s">
        <v>227</v>
      </c>
      <c r="E1152" s="115"/>
      <c r="F1152" s="115"/>
      <c r="G1152" s="70">
        <f>G1153+G1160</f>
        <v>7787.1</v>
      </c>
      <c r="H1152" s="70">
        <f>H1153+H1160</f>
        <v>0</v>
      </c>
      <c r="I1152" s="70">
        <f t="shared" si="248"/>
        <v>7787.1</v>
      </c>
      <c r="J1152" s="70">
        <f>J1153+J1160</f>
        <v>90.1</v>
      </c>
      <c r="K1152" s="87">
        <f t="shared" si="243"/>
        <v>7877.200000000001</v>
      </c>
      <c r="L1152" s="13">
        <f>L1153+L1160</f>
        <v>0</v>
      </c>
      <c r="M1152" s="87">
        <f t="shared" si="245"/>
        <v>7877.200000000001</v>
      </c>
      <c r="N1152" s="13">
        <f>N1153+N1160</f>
        <v>0</v>
      </c>
      <c r="O1152" s="87">
        <f t="shared" si="246"/>
        <v>7877.200000000001</v>
      </c>
      <c r="P1152" s="13">
        <f>P1153+P1160</f>
        <v>0</v>
      </c>
      <c r="Q1152" s="87">
        <f t="shared" si="240"/>
        <v>7877.200000000001</v>
      </c>
      <c r="R1152" s="13">
        <f>R1153+R1160</f>
        <v>0</v>
      </c>
      <c r="S1152" s="87">
        <f t="shared" si="238"/>
        <v>7877.200000000001</v>
      </c>
    </row>
    <row r="1153" spans="1:19" ht="33">
      <c r="A1153" s="62" t="str">
        <f ca="1">IF(ISERROR(MATCH(E1153,Код_КЦСР,0)),"",INDIRECT(ADDRESS(MATCH(E1153,Код_КЦСР,0)+1,2,,,"КЦСР")))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53" s="115">
        <v>809</v>
      </c>
      <c r="C1153" s="8" t="s">
        <v>203</v>
      </c>
      <c r="D1153" s="8" t="s">
        <v>227</v>
      </c>
      <c r="E1153" s="115" t="s">
        <v>532</v>
      </c>
      <c r="F1153" s="115"/>
      <c r="G1153" s="70">
        <f>G1154</f>
        <v>7563.1</v>
      </c>
      <c r="H1153" s="70">
        <f>H1154</f>
        <v>0</v>
      </c>
      <c r="I1153" s="70">
        <f t="shared" si="248"/>
        <v>7563.1</v>
      </c>
      <c r="J1153" s="70">
        <f>J1154</f>
        <v>90.1</v>
      </c>
      <c r="K1153" s="87">
        <f t="shared" si="243"/>
        <v>7653.200000000001</v>
      </c>
      <c r="L1153" s="13">
        <f>L1154</f>
        <v>0</v>
      </c>
      <c r="M1153" s="87">
        <f t="shared" si="245"/>
        <v>7653.200000000001</v>
      </c>
      <c r="N1153" s="13">
        <f>N1154</f>
        <v>0</v>
      </c>
      <c r="O1153" s="87">
        <f t="shared" si="246"/>
        <v>7653.200000000001</v>
      </c>
      <c r="P1153" s="13">
        <f>P1154</f>
        <v>0</v>
      </c>
      <c r="Q1153" s="87">
        <f t="shared" si="240"/>
        <v>7653.200000000001</v>
      </c>
      <c r="R1153" s="13">
        <f>R1154</f>
        <v>0</v>
      </c>
      <c r="S1153" s="87">
        <f t="shared" si="238"/>
        <v>7653.200000000001</v>
      </c>
    </row>
    <row r="1154" spans="1:19" ht="12.75">
      <c r="A1154" s="62" t="str">
        <f ca="1">IF(ISERROR(MATCH(E1154,Код_КЦСР,0)),"",INDIRECT(ADDRESS(MATCH(E1154,Код_КЦСР,0)+1,2,,,"КЦСР")))</f>
        <v>Спортивный город</v>
      </c>
      <c r="B1154" s="115">
        <v>809</v>
      </c>
      <c r="C1154" s="8" t="s">
        <v>203</v>
      </c>
      <c r="D1154" s="8" t="s">
        <v>227</v>
      </c>
      <c r="E1154" s="115" t="s">
        <v>541</v>
      </c>
      <c r="F1154" s="115"/>
      <c r="G1154" s="70">
        <f>G1155</f>
        <v>7563.1</v>
      </c>
      <c r="H1154" s="70">
        <f>H1155</f>
        <v>0</v>
      </c>
      <c r="I1154" s="70">
        <f t="shared" si="248"/>
        <v>7563.1</v>
      </c>
      <c r="J1154" s="70">
        <f>J1155</f>
        <v>90.1</v>
      </c>
      <c r="K1154" s="87">
        <f t="shared" si="243"/>
        <v>7653.200000000001</v>
      </c>
      <c r="L1154" s="13">
        <f>L1155</f>
        <v>0</v>
      </c>
      <c r="M1154" s="87">
        <f t="shared" si="245"/>
        <v>7653.200000000001</v>
      </c>
      <c r="N1154" s="13">
        <f>N1155</f>
        <v>0</v>
      </c>
      <c r="O1154" s="87">
        <f t="shared" si="246"/>
        <v>7653.200000000001</v>
      </c>
      <c r="P1154" s="13">
        <f>P1155</f>
        <v>0</v>
      </c>
      <c r="Q1154" s="87">
        <f t="shared" si="240"/>
        <v>7653.200000000001</v>
      </c>
      <c r="R1154" s="13">
        <f>R1155</f>
        <v>0</v>
      </c>
      <c r="S1154" s="87">
        <f t="shared" si="238"/>
        <v>7653.200000000001</v>
      </c>
    </row>
    <row r="1155" spans="1:19" ht="33">
      <c r="A1155" s="62" t="str">
        <f ca="1">IF(ISERROR(MATCH(F1155,Код_КВР,0)),"",INDIRECT(ADDRESS(MATCH(F1155,Код_КВР,0)+1,2,,,"КВР")))</f>
        <v>Предоставление субсидий бюджетным, автономным учреждениям и иным некоммерческим организациям</v>
      </c>
      <c r="B1155" s="115">
        <v>809</v>
      </c>
      <c r="C1155" s="42" t="s">
        <v>203</v>
      </c>
      <c r="D1155" s="8" t="s">
        <v>227</v>
      </c>
      <c r="E1155" s="115" t="s">
        <v>541</v>
      </c>
      <c r="F1155" s="115">
        <v>600</v>
      </c>
      <c r="G1155" s="70">
        <f>G1156+G1158</f>
        <v>7563.1</v>
      </c>
      <c r="H1155" s="70">
        <f>H1156+H1158</f>
        <v>0</v>
      </c>
      <c r="I1155" s="70">
        <f t="shared" si="248"/>
        <v>7563.1</v>
      </c>
      <c r="J1155" s="70">
        <f>J1156+J1158</f>
        <v>90.1</v>
      </c>
      <c r="K1155" s="87">
        <f t="shared" si="243"/>
        <v>7653.200000000001</v>
      </c>
      <c r="L1155" s="13">
        <f>L1156+L1158</f>
        <v>0</v>
      </c>
      <c r="M1155" s="87">
        <f t="shared" si="245"/>
        <v>7653.200000000001</v>
      </c>
      <c r="N1155" s="13">
        <f>N1156+N1158</f>
        <v>0</v>
      </c>
      <c r="O1155" s="87">
        <f t="shared" si="246"/>
        <v>7653.200000000001</v>
      </c>
      <c r="P1155" s="13">
        <f>P1156+P1158</f>
        <v>0</v>
      </c>
      <c r="Q1155" s="87">
        <f t="shared" si="240"/>
        <v>7653.200000000001</v>
      </c>
      <c r="R1155" s="13">
        <f>R1156+R1158</f>
        <v>0</v>
      </c>
      <c r="S1155" s="87">
        <f t="shared" si="238"/>
        <v>7653.200000000001</v>
      </c>
    </row>
    <row r="1156" spans="1:19" ht="12.75">
      <c r="A1156" s="62" t="str">
        <f ca="1">IF(ISERROR(MATCH(F1156,Код_КВР,0)),"",INDIRECT(ADDRESS(MATCH(F1156,Код_КВР,0)+1,2,,,"КВР")))</f>
        <v>Субсидии бюджетным учреждениям</v>
      </c>
      <c r="B1156" s="115">
        <v>809</v>
      </c>
      <c r="C1156" s="42" t="s">
        <v>203</v>
      </c>
      <c r="D1156" s="8" t="s">
        <v>227</v>
      </c>
      <c r="E1156" s="115" t="s">
        <v>541</v>
      </c>
      <c r="F1156" s="115">
        <v>610</v>
      </c>
      <c r="G1156" s="70">
        <f>G1157</f>
        <v>6732.6</v>
      </c>
      <c r="H1156" s="70">
        <f>H1157</f>
        <v>0</v>
      </c>
      <c r="I1156" s="70">
        <f t="shared" si="248"/>
        <v>6732.6</v>
      </c>
      <c r="J1156" s="70">
        <f>J1157</f>
        <v>90.1</v>
      </c>
      <c r="K1156" s="87">
        <f t="shared" si="243"/>
        <v>6822.700000000001</v>
      </c>
      <c r="L1156" s="13">
        <f>L1157</f>
        <v>0</v>
      </c>
      <c r="M1156" s="87">
        <f t="shared" si="245"/>
        <v>6822.700000000001</v>
      </c>
      <c r="N1156" s="13">
        <f>N1157</f>
        <v>0</v>
      </c>
      <c r="O1156" s="87">
        <f t="shared" si="246"/>
        <v>6822.700000000001</v>
      </c>
      <c r="P1156" s="13">
        <f>P1157</f>
        <v>0</v>
      </c>
      <c r="Q1156" s="87">
        <f t="shared" si="240"/>
        <v>6822.700000000001</v>
      </c>
      <c r="R1156" s="13">
        <f>R1157</f>
        <v>0</v>
      </c>
      <c r="S1156" s="87">
        <f t="shared" si="238"/>
        <v>6822.700000000001</v>
      </c>
    </row>
    <row r="1157" spans="1:19" ht="12.75">
      <c r="A1157" s="62" t="str">
        <f ca="1">IF(ISERROR(MATCH(F1157,Код_КВР,0)),"",INDIRECT(ADDRESS(MATCH(F1157,Код_КВР,0)+1,2,,,"КВР")))</f>
        <v>Субсидии бюджетным учреждениям на иные цели</v>
      </c>
      <c r="B1157" s="115">
        <v>809</v>
      </c>
      <c r="C1157" s="42" t="s">
        <v>203</v>
      </c>
      <c r="D1157" s="8" t="s">
        <v>227</v>
      </c>
      <c r="E1157" s="115" t="s">
        <v>541</v>
      </c>
      <c r="F1157" s="115">
        <v>612</v>
      </c>
      <c r="G1157" s="70">
        <v>6732.6</v>
      </c>
      <c r="H1157" s="70"/>
      <c r="I1157" s="70">
        <f t="shared" si="248"/>
        <v>6732.6</v>
      </c>
      <c r="J1157" s="70">
        <v>90.1</v>
      </c>
      <c r="K1157" s="87">
        <f t="shared" si="243"/>
        <v>6822.700000000001</v>
      </c>
      <c r="L1157" s="13"/>
      <c r="M1157" s="87">
        <f t="shared" si="245"/>
        <v>6822.700000000001</v>
      </c>
      <c r="N1157" s="13"/>
      <c r="O1157" s="87">
        <f t="shared" si="246"/>
        <v>6822.700000000001</v>
      </c>
      <c r="P1157" s="13"/>
      <c r="Q1157" s="87">
        <f t="shared" si="240"/>
        <v>6822.700000000001</v>
      </c>
      <c r="R1157" s="13"/>
      <c r="S1157" s="87">
        <f t="shared" si="238"/>
        <v>6822.700000000001</v>
      </c>
    </row>
    <row r="1158" spans="1:19" ht="12.75">
      <c r="A1158" s="62" t="str">
        <f ca="1">IF(ISERROR(MATCH(F1158,Код_КВР,0)),"",INDIRECT(ADDRESS(MATCH(F1158,Код_КВР,0)+1,2,,,"КВР")))</f>
        <v>Субсидии автономным учреждениям</v>
      </c>
      <c r="B1158" s="115">
        <v>809</v>
      </c>
      <c r="C1158" s="42" t="s">
        <v>203</v>
      </c>
      <c r="D1158" s="8" t="s">
        <v>227</v>
      </c>
      <c r="E1158" s="115" t="s">
        <v>541</v>
      </c>
      <c r="F1158" s="115">
        <v>620</v>
      </c>
      <c r="G1158" s="70">
        <f>G1159</f>
        <v>830.5</v>
      </c>
      <c r="H1158" s="70">
        <f>H1159</f>
        <v>0</v>
      </c>
      <c r="I1158" s="70">
        <f t="shared" si="248"/>
        <v>830.5</v>
      </c>
      <c r="J1158" s="70">
        <f>J1159</f>
        <v>0</v>
      </c>
      <c r="K1158" s="87">
        <f t="shared" si="243"/>
        <v>830.5</v>
      </c>
      <c r="L1158" s="13">
        <f>L1159</f>
        <v>0</v>
      </c>
      <c r="M1158" s="87">
        <f t="shared" si="245"/>
        <v>830.5</v>
      </c>
      <c r="N1158" s="13">
        <f>N1159</f>
        <v>0</v>
      </c>
      <c r="O1158" s="87">
        <f t="shared" si="246"/>
        <v>830.5</v>
      </c>
      <c r="P1158" s="13">
        <f>P1159</f>
        <v>0</v>
      </c>
      <c r="Q1158" s="87">
        <f t="shared" si="240"/>
        <v>830.5</v>
      </c>
      <c r="R1158" s="13">
        <f>R1159</f>
        <v>0</v>
      </c>
      <c r="S1158" s="87">
        <f t="shared" si="238"/>
        <v>830.5</v>
      </c>
    </row>
    <row r="1159" spans="1:19" ht="12.75">
      <c r="A1159" s="62" t="str">
        <f ca="1">IF(ISERROR(MATCH(F1159,Код_КВР,0)),"",INDIRECT(ADDRESS(MATCH(F1159,Код_КВР,0)+1,2,,,"КВР")))</f>
        <v>Субсидии автономным учреждениям на иные цели</v>
      </c>
      <c r="B1159" s="115">
        <v>809</v>
      </c>
      <c r="C1159" s="42" t="s">
        <v>203</v>
      </c>
      <c r="D1159" s="8" t="s">
        <v>227</v>
      </c>
      <c r="E1159" s="115" t="s">
        <v>541</v>
      </c>
      <c r="F1159" s="115">
        <v>622</v>
      </c>
      <c r="G1159" s="70">
        <v>830.5</v>
      </c>
      <c r="H1159" s="70"/>
      <c r="I1159" s="70">
        <f t="shared" si="248"/>
        <v>830.5</v>
      </c>
      <c r="J1159" s="70"/>
      <c r="K1159" s="87">
        <f t="shared" si="243"/>
        <v>830.5</v>
      </c>
      <c r="L1159" s="13"/>
      <c r="M1159" s="87">
        <f t="shared" si="245"/>
        <v>830.5</v>
      </c>
      <c r="N1159" s="13"/>
      <c r="O1159" s="87">
        <f t="shared" si="246"/>
        <v>830.5</v>
      </c>
      <c r="P1159" s="13"/>
      <c r="Q1159" s="87">
        <f t="shared" si="240"/>
        <v>830.5</v>
      </c>
      <c r="R1159" s="13"/>
      <c r="S1159" s="87">
        <f t="shared" si="238"/>
        <v>830.5</v>
      </c>
    </row>
    <row r="1160" spans="1:19" ht="33">
      <c r="A1160" s="62" t="str">
        <f ca="1">IF(ISERROR(MATCH(E1160,Код_КЦСР,0)),"",INDIRECT(ADDRESS(MATCH(E1160,Код_КЦСР,0)+1,2,,,"КЦСР")))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160" s="115">
        <v>809</v>
      </c>
      <c r="C1160" s="8" t="s">
        <v>203</v>
      </c>
      <c r="D1160" s="8" t="s">
        <v>227</v>
      </c>
      <c r="E1160" s="115" t="s">
        <v>81</v>
      </c>
      <c r="F1160" s="115"/>
      <c r="G1160" s="70">
        <f>G1161+G1167</f>
        <v>224</v>
      </c>
      <c r="H1160" s="70">
        <f>H1161+H1167</f>
        <v>0</v>
      </c>
      <c r="I1160" s="70">
        <f t="shared" si="248"/>
        <v>224</v>
      </c>
      <c r="J1160" s="70">
        <f>J1161+J1167</f>
        <v>0</v>
      </c>
      <c r="K1160" s="87">
        <f t="shared" si="243"/>
        <v>224</v>
      </c>
      <c r="L1160" s="13">
        <f>L1161+L1167</f>
        <v>0</v>
      </c>
      <c r="M1160" s="87">
        <f t="shared" si="245"/>
        <v>224</v>
      </c>
      <c r="N1160" s="13">
        <f>N1161+N1167</f>
        <v>0</v>
      </c>
      <c r="O1160" s="87">
        <f t="shared" si="246"/>
        <v>224</v>
      </c>
      <c r="P1160" s="13">
        <f>P1161+P1167</f>
        <v>0</v>
      </c>
      <c r="Q1160" s="87">
        <f t="shared" si="240"/>
        <v>224</v>
      </c>
      <c r="R1160" s="13">
        <f>R1161+R1167</f>
        <v>0</v>
      </c>
      <c r="S1160" s="87">
        <f aca="true" t="shared" si="249" ref="S1160:S1223">Q1160+R1160</f>
        <v>224</v>
      </c>
    </row>
    <row r="1161" spans="1:19" ht="49.5">
      <c r="A1161" s="62" t="str">
        <f ca="1">IF(ISERROR(MATCH(E1161,Код_КЦСР,0)),"",INDIRECT(ADDRESS(MATCH(E1161,Код_КЦСР,0)+1,2,,,"КЦСР")))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161" s="115">
        <v>809</v>
      </c>
      <c r="C1161" s="42" t="s">
        <v>203</v>
      </c>
      <c r="D1161" s="8" t="s">
        <v>227</v>
      </c>
      <c r="E1161" s="115" t="s">
        <v>85</v>
      </c>
      <c r="F1161" s="115"/>
      <c r="G1161" s="70">
        <f>G1162</f>
        <v>177</v>
      </c>
      <c r="H1161" s="70">
        <f>H1162</f>
        <v>0</v>
      </c>
      <c r="I1161" s="70">
        <f t="shared" si="248"/>
        <v>177</v>
      </c>
      <c r="J1161" s="70">
        <f>J1162</f>
        <v>0</v>
      </c>
      <c r="K1161" s="87">
        <f t="shared" si="243"/>
        <v>177</v>
      </c>
      <c r="L1161" s="13">
        <f>L1162</f>
        <v>0</v>
      </c>
      <c r="M1161" s="87">
        <f t="shared" si="245"/>
        <v>177</v>
      </c>
      <c r="N1161" s="13">
        <f>N1162</f>
        <v>0</v>
      </c>
      <c r="O1161" s="87">
        <f t="shared" si="246"/>
        <v>177</v>
      </c>
      <c r="P1161" s="13">
        <f>P1162</f>
        <v>0</v>
      </c>
      <c r="Q1161" s="87">
        <f t="shared" si="240"/>
        <v>177</v>
      </c>
      <c r="R1161" s="13">
        <f>R1162</f>
        <v>0</v>
      </c>
      <c r="S1161" s="87">
        <f t="shared" si="249"/>
        <v>177</v>
      </c>
    </row>
    <row r="1162" spans="1:19" ht="33">
      <c r="A1162" s="62" t="str">
        <f ca="1">IF(ISERROR(MATCH(F1162,Код_КВР,0)),"",INDIRECT(ADDRESS(MATCH(F1162,Код_КВР,0)+1,2,,,"КВР")))</f>
        <v>Предоставление субсидий бюджетным, автономным учреждениям и иным некоммерческим организациям</v>
      </c>
      <c r="B1162" s="115">
        <v>809</v>
      </c>
      <c r="C1162" s="42" t="s">
        <v>203</v>
      </c>
      <c r="D1162" s="8" t="s">
        <v>227</v>
      </c>
      <c r="E1162" s="115" t="s">
        <v>85</v>
      </c>
      <c r="F1162" s="115">
        <v>600</v>
      </c>
      <c r="G1162" s="70">
        <f>G1163+G1165</f>
        <v>177</v>
      </c>
      <c r="H1162" s="70">
        <f>H1163+H1165</f>
        <v>0</v>
      </c>
      <c r="I1162" s="70">
        <f t="shared" si="248"/>
        <v>177</v>
      </c>
      <c r="J1162" s="70">
        <f>J1163+J1165</f>
        <v>0</v>
      </c>
      <c r="K1162" s="87">
        <f t="shared" si="243"/>
        <v>177</v>
      </c>
      <c r="L1162" s="13">
        <f>L1163+L1165</f>
        <v>0</v>
      </c>
      <c r="M1162" s="87">
        <f t="shared" si="245"/>
        <v>177</v>
      </c>
      <c r="N1162" s="13">
        <f>N1163+N1165</f>
        <v>0</v>
      </c>
      <c r="O1162" s="87">
        <f t="shared" si="246"/>
        <v>177</v>
      </c>
      <c r="P1162" s="13">
        <f>P1163+P1165</f>
        <v>0</v>
      </c>
      <c r="Q1162" s="87">
        <f t="shared" si="240"/>
        <v>177</v>
      </c>
      <c r="R1162" s="13">
        <f>R1163+R1165</f>
        <v>0</v>
      </c>
      <c r="S1162" s="87">
        <f t="shared" si="249"/>
        <v>177</v>
      </c>
    </row>
    <row r="1163" spans="1:19" ht="12.75">
      <c r="A1163" s="62" t="str">
        <f ca="1">IF(ISERROR(MATCH(F1163,Код_КВР,0)),"",INDIRECT(ADDRESS(MATCH(F1163,Код_КВР,0)+1,2,,,"КВР")))</f>
        <v>Субсидии бюджетным учреждениям</v>
      </c>
      <c r="B1163" s="115">
        <v>809</v>
      </c>
      <c r="C1163" s="42" t="s">
        <v>203</v>
      </c>
      <c r="D1163" s="8" t="s">
        <v>227</v>
      </c>
      <c r="E1163" s="115" t="s">
        <v>85</v>
      </c>
      <c r="F1163" s="115">
        <v>610</v>
      </c>
      <c r="G1163" s="70">
        <f>G1164</f>
        <v>177</v>
      </c>
      <c r="H1163" s="70">
        <f>H1164</f>
        <v>0</v>
      </c>
      <c r="I1163" s="70">
        <f t="shared" si="248"/>
        <v>177</v>
      </c>
      <c r="J1163" s="70">
        <f>J1164</f>
        <v>0</v>
      </c>
      <c r="K1163" s="87">
        <f t="shared" si="243"/>
        <v>177</v>
      </c>
      <c r="L1163" s="13">
        <f>L1164</f>
        <v>0</v>
      </c>
      <c r="M1163" s="87">
        <f t="shared" si="245"/>
        <v>177</v>
      </c>
      <c r="N1163" s="13">
        <f>N1164</f>
        <v>0</v>
      </c>
      <c r="O1163" s="87">
        <f t="shared" si="246"/>
        <v>177</v>
      </c>
      <c r="P1163" s="13">
        <f>P1164</f>
        <v>0</v>
      </c>
      <c r="Q1163" s="87">
        <f t="shared" si="240"/>
        <v>177</v>
      </c>
      <c r="R1163" s="13">
        <f>R1164</f>
        <v>0</v>
      </c>
      <c r="S1163" s="87">
        <f t="shared" si="249"/>
        <v>177</v>
      </c>
    </row>
    <row r="1164" spans="1:19" ht="12.75">
      <c r="A1164" s="62" t="str">
        <f ca="1">IF(ISERROR(MATCH(F1164,Код_КВР,0)),"",INDIRECT(ADDRESS(MATCH(F1164,Код_КВР,0)+1,2,,,"КВР")))</f>
        <v>Субсидии бюджетным учреждениям на иные цели</v>
      </c>
      <c r="B1164" s="115">
        <v>809</v>
      </c>
      <c r="C1164" s="42" t="s">
        <v>203</v>
      </c>
      <c r="D1164" s="8" t="s">
        <v>227</v>
      </c>
      <c r="E1164" s="115" t="s">
        <v>85</v>
      </c>
      <c r="F1164" s="115">
        <v>612</v>
      </c>
      <c r="G1164" s="70">
        <v>177</v>
      </c>
      <c r="H1164" s="70"/>
      <c r="I1164" s="70">
        <f t="shared" si="248"/>
        <v>177</v>
      </c>
      <c r="J1164" s="70"/>
      <c r="K1164" s="87">
        <f t="shared" si="243"/>
        <v>177</v>
      </c>
      <c r="L1164" s="13"/>
      <c r="M1164" s="87">
        <f t="shared" si="245"/>
        <v>177</v>
      </c>
      <c r="N1164" s="13"/>
      <c r="O1164" s="87">
        <f t="shared" si="246"/>
        <v>177</v>
      </c>
      <c r="P1164" s="13"/>
      <c r="Q1164" s="87">
        <f t="shared" si="240"/>
        <v>177</v>
      </c>
      <c r="R1164" s="13"/>
      <c r="S1164" s="87">
        <f t="shared" si="249"/>
        <v>177</v>
      </c>
    </row>
    <row r="1165" spans="1:19" ht="12.75" hidden="1">
      <c r="A1165" s="62" t="str">
        <f ca="1">IF(ISERROR(MATCH(F1165,Код_КВР,0)),"",INDIRECT(ADDRESS(MATCH(F1165,Код_КВР,0)+1,2,,,"КВР")))</f>
        <v>Субсидии автономным учреждениям</v>
      </c>
      <c r="B1165" s="115">
        <v>809</v>
      </c>
      <c r="C1165" s="42" t="s">
        <v>203</v>
      </c>
      <c r="D1165" s="8" t="s">
        <v>227</v>
      </c>
      <c r="E1165" s="115" t="s">
        <v>85</v>
      </c>
      <c r="F1165" s="115">
        <v>620</v>
      </c>
      <c r="G1165" s="70">
        <f>G1166</f>
        <v>0</v>
      </c>
      <c r="H1165" s="70">
        <f>H1166</f>
        <v>0</v>
      </c>
      <c r="I1165" s="70">
        <f t="shared" si="248"/>
        <v>0</v>
      </c>
      <c r="J1165" s="70">
        <f>J1166</f>
        <v>0</v>
      </c>
      <c r="K1165" s="87">
        <f t="shared" si="243"/>
        <v>0</v>
      </c>
      <c r="L1165" s="13">
        <f>L1166</f>
        <v>0</v>
      </c>
      <c r="M1165" s="87">
        <f t="shared" si="245"/>
        <v>0</v>
      </c>
      <c r="N1165" s="13">
        <f>N1166</f>
        <v>0</v>
      </c>
      <c r="O1165" s="87">
        <f t="shared" si="246"/>
        <v>0</v>
      </c>
      <c r="P1165" s="13">
        <f>P1166</f>
        <v>0</v>
      </c>
      <c r="Q1165" s="87">
        <f t="shared" si="240"/>
        <v>0</v>
      </c>
      <c r="R1165" s="13">
        <f>R1166</f>
        <v>0</v>
      </c>
      <c r="S1165" s="87">
        <f t="shared" si="249"/>
        <v>0</v>
      </c>
    </row>
    <row r="1166" spans="1:19" ht="12.75" hidden="1">
      <c r="A1166" s="62" t="str">
        <f ca="1">IF(ISERROR(MATCH(F1166,Код_КВР,0)),"",INDIRECT(ADDRESS(MATCH(F1166,Код_КВР,0)+1,2,,,"КВР")))</f>
        <v>Субсидии автономным учреждениям на иные цели</v>
      </c>
      <c r="B1166" s="115">
        <v>809</v>
      </c>
      <c r="C1166" s="42" t="s">
        <v>203</v>
      </c>
      <c r="D1166" s="8" t="s">
        <v>227</v>
      </c>
      <c r="E1166" s="115" t="s">
        <v>85</v>
      </c>
      <c r="F1166" s="115">
        <v>622</v>
      </c>
      <c r="G1166" s="70"/>
      <c r="H1166" s="70"/>
      <c r="I1166" s="70">
        <f t="shared" si="248"/>
        <v>0</v>
      </c>
      <c r="J1166" s="70"/>
      <c r="K1166" s="87">
        <f t="shared" si="243"/>
        <v>0</v>
      </c>
      <c r="L1166" s="13"/>
      <c r="M1166" s="87">
        <f t="shared" si="245"/>
        <v>0</v>
      </c>
      <c r="N1166" s="13"/>
      <c r="O1166" s="87">
        <f t="shared" si="246"/>
        <v>0</v>
      </c>
      <c r="P1166" s="13"/>
      <c r="Q1166" s="87">
        <f aca="true" t="shared" si="250" ref="Q1166:Q1229">O1166+P1166</f>
        <v>0</v>
      </c>
      <c r="R1166" s="13"/>
      <c r="S1166" s="87">
        <f t="shared" si="249"/>
        <v>0</v>
      </c>
    </row>
    <row r="1167" spans="1:19" ht="12.75">
      <c r="A1167" s="62" t="str">
        <f ca="1">IF(ISERROR(MATCH(E1167,Код_КЦСР,0)),"",INDIRECT(ADDRESS(MATCH(E1167,Код_КЦСР,0)+1,2,,,"КЦСР")))</f>
        <v>Ремонт и оборудование эвакуационных путей  зданий</v>
      </c>
      <c r="B1167" s="115">
        <v>809</v>
      </c>
      <c r="C1167" s="42" t="s">
        <v>203</v>
      </c>
      <c r="D1167" s="8" t="s">
        <v>227</v>
      </c>
      <c r="E1167" s="115" t="s">
        <v>89</v>
      </c>
      <c r="F1167" s="115"/>
      <c r="G1167" s="70">
        <f>G1168</f>
        <v>47</v>
      </c>
      <c r="H1167" s="70">
        <f>H1168</f>
        <v>0</v>
      </c>
      <c r="I1167" s="70">
        <f t="shared" si="248"/>
        <v>47</v>
      </c>
      <c r="J1167" s="70">
        <f>J1168</f>
        <v>0</v>
      </c>
      <c r="K1167" s="87">
        <f t="shared" si="243"/>
        <v>47</v>
      </c>
      <c r="L1167" s="13">
        <f>L1168</f>
        <v>0</v>
      </c>
      <c r="M1167" s="87">
        <f t="shared" si="245"/>
        <v>47</v>
      </c>
      <c r="N1167" s="13">
        <f>N1168</f>
        <v>0</v>
      </c>
      <c r="O1167" s="87">
        <f t="shared" si="246"/>
        <v>47</v>
      </c>
      <c r="P1167" s="13">
        <f>P1168</f>
        <v>0</v>
      </c>
      <c r="Q1167" s="87">
        <f t="shared" si="250"/>
        <v>47</v>
      </c>
      <c r="R1167" s="13">
        <f>R1168</f>
        <v>0</v>
      </c>
      <c r="S1167" s="87">
        <f t="shared" si="249"/>
        <v>47</v>
      </c>
    </row>
    <row r="1168" spans="1:19" ht="33">
      <c r="A1168" s="62" t="str">
        <f ca="1">IF(ISERROR(MATCH(F1168,Код_КВР,0)),"",INDIRECT(ADDRESS(MATCH(F1168,Код_КВР,0)+1,2,,,"КВР")))</f>
        <v>Предоставление субсидий бюджетным, автономным учреждениям и иным некоммерческим организациям</v>
      </c>
      <c r="B1168" s="115">
        <v>809</v>
      </c>
      <c r="C1168" s="42" t="s">
        <v>203</v>
      </c>
      <c r="D1168" s="8" t="s">
        <v>227</v>
      </c>
      <c r="E1168" s="115" t="s">
        <v>89</v>
      </c>
      <c r="F1168" s="115">
        <v>600</v>
      </c>
      <c r="G1168" s="70">
        <f>G1169+G1171</f>
        <v>47</v>
      </c>
      <c r="H1168" s="70">
        <f>H1169+H1171</f>
        <v>0</v>
      </c>
      <c r="I1168" s="70">
        <f t="shared" si="248"/>
        <v>47</v>
      </c>
      <c r="J1168" s="70">
        <f>J1169+J1171</f>
        <v>0</v>
      </c>
      <c r="K1168" s="87">
        <f t="shared" si="243"/>
        <v>47</v>
      </c>
      <c r="L1168" s="13">
        <f>L1169+L1171</f>
        <v>0</v>
      </c>
      <c r="M1168" s="87">
        <f t="shared" si="245"/>
        <v>47</v>
      </c>
      <c r="N1168" s="13">
        <f>N1169+N1171</f>
        <v>0</v>
      </c>
      <c r="O1168" s="87">
        <f t="shared" si="246"/>
        <v>47</v>
      </c>
      <c r="P1168" s="13">
        <f>P1169+P1171</f>
        <v>0</v>
      </c>
      <c r="Q1168" s="87">
        <f t="shared" si="250"/>
        <v>47</v>
      </c>
      <c r="R1168" s="13">
        <f>R1169+R1171</f>
        <v>0</v>
      </c>
      <c r="S1168" s="87">
        <f t="shared" si="249"/>
        <v>47</v>
      </c>
    </row>
    <row r="1169" spans="1:19" ht="12.75">
      <c r="A1169" s="62" t="str">
        <f ca="1">IF(ISERROR(MATCH(F1169,Код_КВР,0)),"",INDIRECT(ADDRESS(MATCH(F1169,Код_КВР,0)+1,2,,,"КВР")))</f>
        <v>Субсидии бюджетным учреждениям</v>
      </c>
      <c r="B1169" s="115">
        <v>809</v>
      </c>
      <c r="C1169" s="42" t="s">
        <v>203</v>
      </c>
      <c r="D1169" s="8" t="s">
        <v>227</v>
      </c>
      <c r="E1169" s="115" t="s">
        <v>89</v>
      </c>
      <c r="F1169" s="115">
        <v>610</v>
      </c>
      <c r="G1169" s="70">
        <f>G1170</f>
        <v>47</v>
      </c>
      <c r="H1169" s="70">
        <f>H1170</f>
        <v>0</v>
      </c>
      <c r="I1169" s="70">
        <f t="shared" si="248"/>
        <v>47</v>
      </c>
      <c r="J1169" s="70">
        <f>J1170</f>
        <v>0</v>
      </c>
      <c r="K1169" s="87">
        <f t="shared" si="243"/>
        <v>47</v>
      </c>
      <c r="L1169" s="13">
        <f>L1170</f>
        <v>0</v>
      </c>
      <c r="M1169" s="87">
        <f t="shared" si="245"/>
        <v>47</v>
      </c>
      <c r="N1169" s="13">
        <f>N1170</f>
        <v>0</v>
      </c>
      <c r="O1169" s="87">
        <f t="shared" si="246"/>
        <v>47</v>
      </c>
      <c r="P1169" s="13">
        <f>P1170</f>
        <v>0</v>
      </c>
      <c r="Q1169" s="87">
        <f t="shared" si="250"/>
        <v>47</v>
      </c>
      <c r="R1169" s="13">
        <f>R1170</f>
        <v>0</v>
      </c>
      <c r="S1169" s="87">
        <f t="shared" si="249"/>
        <v>47</v>
      </c>
    </row>
    <row r="1170" spans="1:19" ht="12.75">
      <c r="A1170" s="62" t="str">
        <f ca="1">IF(ISERROR(MATCH(F1170,Код_КВР,0)),"",INDIRECT(ADDRESS(MATCH(F1170,Код_КВР,0)+1,2,,,"КВР")))</f>
        <v>Субсидии бюджетным учреждениям на иные цели</v>
      </c>
      <c r="B1170" s="115">
        <v>809</v>
      </c>
      <c r="C1170" s="42" t="s">
        <v>203</v>
      </c>
      <c r="D1170" s="8" t="s">
        <v>227</v>
      </c>
      <c r="E1170" s="115" t="s">
        <v>89</v>
      </c>
      <c r="F1170" s="115">
        <v>612</v>
      </c>
      <c r="G1170" s="70">
        <v>47</v>
      </c>
      <c r="H1170" s="70"/>
      <c r="I1170" s="70">
        <f t="shared" si="248"/>
        <v>47</v>
      </c>
      <c r="J1170" s="70"/>
      <c r="K1170" s="87">
        <f t="shared" si="243"/>
        <v>47</v>
      </c>
      <c r="L1170" s="13"/>
      <c r="M1170" s="87">
        <f t="shared" si="245"/>
        <v>47</v>
      </c>
      <c r="N1170" s="13"/>
      <c r="O1170" s="87">
        <f t="shared" si="246"/>
        <v>47</v>
      </c>
      <c r="P1170" s="13"/>
      <c r="Q1170" s="87">
        <f t="shared" si="250"/>
        <v>47</v>
      </c>
      <c r="R1170" s="13"/>
      <c r="S1170" s="87">
        <f t="shared" si="249"/>
        <v>47</v>
      </c>
    </row>
    <row r="1171" spans="1:19" ht="12.75" hidden="1">
      <c r="A1171" s="62" t="str">
        <f ca="1">IF(ISERROR(MATCH(F1171,Код_КВР,0)),"",INDIRECT(ADDRESS(MATCH(F1171,Код_КВР,0)+1,2,,,"КВР")))</f>
        <v>Субсидии автономным учреждениям</v>
      </c>
      <c r="B1171" s="115">
        <v>809</v>
      </c>
      <c r="C1171" s="42" t="s">
        <v>203</v>
      </c>
      <c r="D1171" s="8" t="s">
        <v>227</v>
      </c>
      <c r="E1171" s="115" t="s">
        <v>89</v>
      </c>
      <c r="F1171" s="115">
        <v>620</v>
      </c>
      <c r="G1171" s="70">
        <f>G1172</f>
        <v>0</v>
      </c>
      <c r="H1171" s="70">
        <f>H1172</f>
        <v>0</v>
      </c>
      <c r="I1171" s="70">
        <f t="shared" si="248"/>
        <v>0</v>
      </c>
      <c r="J1171" s="70">
        <f>J1172</f>
        <v>0</v>
      </c>
      <c r="K1171" s="87">
        <f t="shared" si="243"/>
        <v>0</v>
      </c>
      <c r="L1171" s="13">
        <f>L1172</f>
        <v>0</v>
      </c>
      <c r="M1171" s="87">
        <f t="shared" si="245"/>
        <v>0</v>
      </c>
      <c r="N1171" s="13">
        <f>N1172</f>
        <v>0</v>
      </c>
      <c r="O1171" s="87">
        <f t="shared" si="246"/>
        <v>0</v>
      </c>
      <c r="P1171" s="13">
        <f>P1172</f>
        <v>0</v>
      </c>
      <c r="Q1171" s="87">
        <f t="shared" si="250"/>
        <v>0</v>
      </c>
      <c r="R1171" s="13">
        <f>R1172</f>
        <v>0</v>
      </c>
      <c r="S1171" s="87">
        <f t="shared" si="249"/>
        <v>0</v>
      </c>
    </row>
    <row r="1172" spans="1:19" ht="12.75" hidden="1">
      <c r="A1172" s="62" t="str">
        <f ca="1">IF(ISERROR(MATCH(F1172,Код_КВР,0)),"",INDIRECT(ADDRESS(MATCH(F1172,Код_КВР,0)+1,2,,,"КВР")))</f>
        <v>Субсидии автономным учреждениям на иные цели</v>
      </c>
      <c r="B1172" s="115">
        <v>809</v>
      </c>
      <c r="C1172" s="42" t="s">
        <v>203</v>
      </c>
      <c r="D1172" s="8" t="s">
        <v>227</v>
      </c>
      <c r="E1172" s="115" t="s">
        <v>89</v>
      </c>
      <c r="F1172" s="115">
        <v>622</v>
      </c>
      <c r="G1172" s="70"/>
      <c r="H1172" s="70"/>
      <c r="I1172" s="70">
        <f t="shared" si="248"/>
        <v>0</v>
      </c>
      <c r="J1172" s="70"/>
      <c r="K1172" s="87">
        <f t="shared" si="243"/>
        <v>0</v>
      </c>
      <c r="L1172" s="13"/>
      <c r="M1172" s="87">
        <f t="shared" si="245"/>
        <v>0</v>
      </c>
      <c r="N1172" s="13"/>
      <c r="O1172" s="87">
        <f t="shared" si="246"/>
        <v>0</v>
      </c>
      <c r="P1172" s="13"/>
      <c r="Q1172" s="87">
        <f t="shared" si="250"/>
        <v>0</v>
      </c>
      <c r="R1172" s="13"/>
      <c r="S1172" s="87">
        <f t="shared" si="249"/>
        <v>0</v>
      </c>
    </row>
    <row r="1173" spans="1:19" ht="12.75">
      <c r="A1173" s="62" t="str">
        <f ca="1">IF(ISERROR(MATCH(C1173,Код_Раздел,0)),"",INDIRECT(ADDRESS(MATCH(C1173,Код_Раздел,0)+1,2,,,"Раздел")))</f>
        <v>Физическая культура и спорт</v>
      </c>
      <c r="B1173" s="115">
        <v>809</v>
      </c>
      <c r="C1173" s="8" t="s">
        <v>232</v>
      </c>
      <c r="D1173" s="8"/>
      <c r="E1173" s="115"/>
      <c r="F1173" s="115"/>
      <c r="G1173" s="70">
        <f>G1174+G1205+G1216</f>
        <v>215467.1</v>
      </c>
      <c r="H1173" s="70">
        <f>H1174+H1205+H1216</f>
        <v>-908.7999999999993</v>
      </c>
      <c r="I1173" s="70">
        <f t="shared" si="248"/>
        <v>214558.30000000002</v>
      </c>
      <c r="J1173" s="70">
        <f>J1174+J1205+J1216</f>
        <v>1509.9</v>
      </c>
      <c r="K1173" s="87">
        <f t="shared" si="243"/>
        <v>216068.2</v>
      </c>
      <c r="L1173" s="13">
        <f>L1174+L1205+L1216</f>
        <v>0</v>
      </c>
      <c r="M1173" s="87">
        <f t="shared" si="245"/>
        <v>216068.2</v>
      </c>
      <c r="N1173" s="13">
        <f>N1174+N1205+N1216</f>
        <v>0</v>
      </c>
      <c r="O1173" s="87">
        <f t="shared" si="246"/>
        <v>216068.2</v>
      </c>
      <c r="P1173" s="13">
        <f>P1174+P1205+P1216</f>
        <v>-3959.5</v>
      </c>
      <c r="Q1173" s="87">
        <f t="shared" si="250"/>
        <v>212108.7</v>
      </c>
      <c r="R1173" s="13">
        <f>R1174+R1205+R1216</f>
        <v>-9775</v>
      </c>
      <c r="S1173" s="87">
        <f t="shared" si="249"/>
        <v>202333.7</v>
      </c>
    </row>
    <row r="1174" spans="1:19" ht="12.75">
      <c r="A1174" s="12" t="s">
        <v>194</v>
      </c>
      <c r="B1174" s="115">
        <v>809</v>
      </c>
      <c r="C1174" s="8" t="s">
        <v>232</v>
      </c>
      <c r="D1174" s="8" t="s">
        <v>221</v>
      </c>
      <c r="E1174" s="115"/>
      <c r="F1174" s="115"/>
      <c r="G1174" s="70">
        <f>G1175+G1200</f>
        <v>205283.9</v>
      </c>
      <c r="H1174" s="70">
        <f>H1175+H1200</f>
        <v>-908.7999999999993</v>
      </c>
      <c r="I1174" s="70">
        <f t="shared" si="248"/>
        <v>204375.1</v>
      </c>
      <c r="J1174" s="70">
        <f>J1175+J1200</f>
        <v>-205</v>
      </c>
      <c r="K1174" s="87">
        <f t="shared" si="243"/>
        <v>204170.1</v>
      </c>
      <c r="L1174" s="13">
        <f>L1175+L1200</f>
        <v>0</v>
      </c>
      <c r="M1174" s="87">
        <f t="shared" si="245"/>
        <v>204170.1</v>
      </c>
      <c r="N1174" s="13">
        <f>N1175+N1200</f>
        <v>0</v>
      </c>
      <c r="O1174" s="87">
        <f t="shared" si="246"/>
        <v>204170.1</v>
      </c>
      <c r="P1174" s="13">
        <f>P1175+P1200</f>
        <v>-3959.5</v>
      </c>
      <c r="Q1174" s="87">
        <f t="shared" si="250"/>
        <v>200210.6</v>
      </c>
      <c r="R1174" s="13">
        <f>R1175+R1200</f>
        <v>-9775</v>
      </c>
      <c r="S1174" s="87">
        <f t="shared" si="249"/>
        <v>190435.6</v>
      </c>
    </row>
    <row r="1175" spans="1:19" ht="33">
      <c r="A1175" s="62" t="str">
        <f ca="1">IF(ISERROR(MATCH(E1175,Код_КЦСР,0)),"",INDIRECT(ADDRESS(MATCH(E1175,Код_КЦСР,0)+1,2,,,"КЦСР")))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75" s="115">
        <v>809</v>
      </c>
      <c r="C1175" s="8" t="s">
        <v>232</v>
      </c>
      <c r="D1175" s="8" t="s">
        <v>221</v>
      </c>
      <c r="E1175" s="115" t="s">
        <v>532</v>
      </c>
      <c r="F1175" s="115"/>
      <c r="G1175" s="70">
        <f>G1176+G1180+G1186+G1195</f>
        <v>205283.9</v>
      </c>
      <c r="H1175" s="70">
        <f>H1176+H1180+H1186+H1195</f>
        <v>-908.7999999999993</v>
      </c>
      <c r="I1175" s="70">
        <f t="shared" si="248"/>
        <v>204375.1</v>
      </c>
      <c r="J1175" s="70">
        <f>J1176+J1180+J1186+J1195</f>
        <v>-205</v>
      </c>
      <c r="K1175" s="87">
        <f t="shared" si="243"/>
        <v>204170.1</v>
      </c>
      <c r="L1175" s="13">
        <f>L1176+L1180+L1186+L1195</f>
        <v>0</v>
      </c>
      <c r="M1175" s="87">
        <f t="shared" si="245"/>
        <v>204170.1</v>
      </c>
      <c r="N1175" s="13">
        <f>N1176+N1180+N1186+N1195</f>
        <v>0</v>
      </c>
      <c r="O1175" s="87">
        <f t="shared" si="246"/>
        <v>204170.1</v>
      </c>
      <c r="P1175" s="13">
        <f>P1176+P1180+P1186+P1195</f>
        <v>-3959.5</v>
      </c>
      <c r="Q1175" s="87">
        <f t="shared" si="250"/>
        <v>200210.6</v>
      </c>
      <c r="R1175" s="13">
        <f>R1176+R1180+R1186+R1195</f>
        <v>-9775</v>
      </c>
      <c r="S1175" s="87">
        <f t="shared" si="249"/>
        <v>190435.6</v>
      </c>
    </row>
    <row r="1176" spans="1:19" ht="12.75">
      <c r="A1176" s="62" t="str">
        <f ca="1">IF(ISERROR(MATCH(E1176,Код_КЦСР,0)),"",INDIRECT(ADDRESS(MATCH(E1176,Код_КЦСР,0)+1,2,,,"КЦСР")))</f>
        <v>Обеспечение доступа к спортивным объектам</v>
      </c>
      <c r="B1176" s="115">
        <v>809</v>
      </c>
      <c r="C1176" s="8" t="s">
        <v>232</v>
      </c>
      <c r="D1176" s="8" t="s">
        <v>221</v>
      </c>
      <c r="E1176" s="115" t="s">
        <v>534</v>
      </c>
      <c r="F1176" s="115"/>
      <c r="G1176" s="70">
        <f aca="true" t="shared" si="251" ref="G1176:R1178">G1177</f>
        <v>176820.9</v>
      </c>
      <c r="H1176" s="70">
        <f t="shared" si="251"/>
        <v>-10908.8</v>
      </c>
      <c r="I1176" s="70">
        <f t="shared" si="248"/>
        <v>165912.1</v>
      </c>
      <c r="J1176" s="70">
        <f t="shared" si="251"/>
        <v>0</v>
      </c>
      <c r="K1176" s="87">
        <f t="shared" si="243"/>
        <v>165912.1</v>
      </c>
      <c r="L1176" s="13">
        <f t="shared" si="251"/>
        <v>0</v>
      </c>
      <c r="M1176" s="87">
        <f t="shared" si="245"/>
        <v>165912.1</v>
      </c>
      <c r="N1176" s="13">
        <f t="shared" si="251"/>
        <v>0</v>
      </c>
      <c r="O1176" s="87">
        <f t="shared" si="246"/>
        <v>165912.1</v>
      </c>
      <c r="P1176" s="13">
        <f t="shared" si="251"/>
        <v>0</v>
      </c>
      <c r="Q1176" s="87">
        <f t="shared" si="250"/>
        <v>165912.1</v>
      </c>
      <c r="R1176" s="13">
        <f t="shared" si="251"/>
        <v>-29775</v>
      </c>
      <c r="S1176" s="87">
        <f t="shared" si="249"/>
        <v>136137.1</v>
      </c>
    </row>
    <row r="1177" spans="1:19" ht="33">
      <c r="A1177" s="62" t="str">
        <f ca="1">IF(ISERROR(MATCH(F1177,Код_КВР,0)),"",INDIRECT(ADDRESS(MATCH(F1177,Код_КВР,0)+1,2,,,"КВР")))</f>
        <v>Предоставление субсидий бюджетным, автономным учреждениям и иным некоммерческим организациям</v>
      </c>
      <c r="B1177" s="115">
        <v>809</v>
      </c>
      <c r="C1177" s="42" t="s">
        <v>232</v>
      </c>
      <c r="D1177" s="8" t="s">
        <v>221</v>
      </c>
      <c r="E1177" s="115" t="s">
        <v>534</v>
      </c>
      <c r="F1177" s="115">
        <v>600</v>
      </c>
      <c r="G1177" s="70">
        <f t="shared" si="251"/>
        <v>176820.9</v>
      </c>
      <c r="H1177" s="70">
        <f t="shared" si="251"/>
        <v>-10908.8</v>
      </c>
      <c r="I1177" s="70">
        <f t="shared" si="248"/>
        <v>165912.1</v>
      </c>
      <c r="J1177" s="70">
        <f t="shared" si="251"/>
        <v>0</v>
      </c>
      <c r="K1177" s="87">
        <f t="shared" si="243"/>
        <v>165912.1</v>
      </c>
      <c r="L1177" s="13">
        <f t="shared" si="251"/>
        <v>0</v>
      </c>
      <c r="M1177" s="87">
        <f t="shared" si="245"/>
        <v>165912.1</v>
      </c>
      <c r="N1177" s="13">
        <f t="shared" si="251"/>
        <v>0</v>
      </c>
      <c r="O1177" s="87">
        <f t="shared" si="246"/>
        <v>165912.1</v>
      </c>
      <c r="P1177" s="13">
        <f t="shared" si="251"/>
        <v>0</v>
      </c>
      <c r="Q1177" s="87">
        <f t="shared" si="250"/>
        <v>165912.1</v>
      </c>
      <c r="R1177" s="13">
        <f t="shared" si="251"/>
        <v>-29775</v>
      </c>
      <c r="S1177" s="87">
        <f t="shared" si="249"/>
        <v>136137.1</v>
      </c>
    </row>
    <row r="1178" spans="1:19" ht="12.75">
      <c r="A1178" s="62" t="str">
        <f ca="1">IF(ISERROR(MATCH(F1178,Код_КВР,0)),"",INDIRECT(ADDRESS(MATCH(F1178,Код_КВР,0)+1,2,,,"КВР")))</f>
        <v>Субсидии автономным учреждениям</v>
      </c>
      <c r="B1178" s="115">
        <v>809</v>
      </c>
      <c r="C1178" s="42" t="s">
        <v>232</v>
      </c>
      <c r="D1178" s="8" t="s">
        <v>221</v>
      </c>
      <c r="E1178" s="115" t="s">
        <v>534</v>
      </c>
      <c r="F1178" s="115">
        <v>620</v>
      </c>
      <c r="G1178" s="70">
        <f t="shared" si="251"/>
        <v>176820.9</v>
      </c>
      <c r="H1178" s="70">
        <f t="shared" si="251"/>
        <v>-10908.8</v>
      </c>
      <c r="I1178" s="70">
        <f t="shared" si="248"/>
        <v>165912.1</v>
      </c>
      <c r="J1178" s="70">
        <f t="shared" si="251"/>
        <v>0</v>
      </c>
      <c r="K1178" s="87">
        <f t="shared" si="243"/>
        <v>165912.1</v>
      </c>
      <c r="L1178" s="13">
        <f t="shared" si="251"/>
        <v>0</v>
      </c>
      <c r="M1178" s="87">
        <f t="shared" si="245"/>
        <v>165912.1</v>
      </c>
      <c r="N1178" s="13">
        <f t="shared" si="251"/>
        <v>0</v>
      </c>
      <c r="O1178" s="87">
        <f t="shared" si="246"/>
        <v>165912.1</v>
      </c>
      <c r="P1178" s="13">
        <f t="shared" si="251"/>
        <v>0</v>
      </c>
      <c r="Q1178" s="87">
        <f t="shared" si="250"/>
        <v>165912.1</v>
      </c>
      <c r="R1178" s="13">
        <f t="shared" si="251"/>
        <v>-29775</v>
      </c>
      <c r="S1178" s="87">
        <f t="shared" si="249"/>
        <v>136137.1</v>
      </c>
    </row>
    <row r="1179" spans="1:19" ht="49.5">
      <c r="A1179" s="62" t="str">
        <f ca="1">IF(ISERROR(MATCH(F1179,Код_КВР,0)),"",INDIRECT(ADDRESS(MATCH(F1179,Код_КВР,0)+1,2,,,"КВР")))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79" s="115">
        <v>809</v>
      </c>
      <c r="C1179" s="42" t="s">
        <v>232</v>
      </c>
      <c r="D1179" s="8" t="s">
        <v>221</v>
      </c>
      <c r="E1179" s="115" t="s">
        <v>534</v>
      </c>
      <c r="F1179" s="115">
        <v>621</v>
      </c>
      <c r="G1179" s="70">
        <v>176820.9</v>
      </c>
      <c r="H1179" s="70">
        <v>-10908.8</v>
      </c>
      <c r="I1179" s="70">
        <f t="shared" si="248"/>
        <v>165912.1</v>
      </c>
      <c r="J1179" s="70"/>
      <c r="K1179" s="87">
        <f t="shared" si="243"/>
        <v>165912.1</v>
      </c>
      <c r="L1179" s="13"/>
      <c r="M1179" s="87">
        <f t="shared" si="245"/>
        <v>165912.1</v>
      </c>
      <c r="N1179" s="13"/>
      <c r="O1179" s="87">
        <f t="shared" si="246"/>
        <v>165912.1</v>
      </c>
      <c r="P1179" s="13"/>
      <c r="Q1179" s="87">
        <f t="shared" si="250"/>
        <v>165912.1</v>
      </c>
      <c r="R1179" s="13">
        <v>-29775</v>
      </c>
      <c r="S1179" s="87">
        <f t="shared" si="249"/>
        <v>136137.1</v>
      </c>
    </row>
    <row r="1180" spans="1:19" ht="49.5">
      <c r="A1180" s="62" t="str">
        <f ca="1">IF(ISERROR(MATCH(E1180,Код_КЦСР,0)),"",INDIRECT(ADDRESS(MATCH(E1180,Код_КЦСР,0)+1,2,,,"КЦСР")))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 и международного)</v>
      </c>
      <c r="B1180" s="115">
        <v>809</v>
      </c>
      <c r="C1180" s="8" t="s">
        <v>232</v>
      </c>
      <c r="D1180" s="8" t="s">
        <v>221</v>
      </c>
      <c r="E1180" s="115" t="s">
        <v>536</v>
      </c>
      <c r="F1180" s="115"/>
      <c r="G1180" s="70">
        <f>G1181</f>
        <v>18569.3</v>
      </c>
      <c r="H1180" s="70">
        <f>H1181</f>
        <v>0</v>
      </c>
      <c r="I1180" s="70">
        <f t="shared" si="248"/>
        <v>18569.3</v>
      </c>
      <c r="J1180" s="70">
        <f>J1181</f>
        <v>0</v>
      </c>
      <c r="K1180" s="87">
        <f t="shared" si="243"/>
        <v>18569.3</v>
      </c>
      <c r="L1180" s="13">
        <f>L1181</f>
        <v>0</v>
      </c>
      <c r="M1180" s="87">
        <f t="shared" si="245"/>
        <v>18569.3</v>
      </c>
      <c r="N1180" s="13">
        <f>N1181</f>
        <v>0</v>
      </c>
      <c r="O1180" s="87">
        <f t="shared" si="246"/>
        <v>18569.3</v>
      </c>
      <c r="P1180" s="13">
        <f>P1181</f>
        <v>-3162</v>
      </c>
      <c r="Q1180" s="87">
        <f t="shared" si="250"/>
        <v>15407.3</v>
      </c>
      <c r="R1180" s="13">
        <f>R1181</f>
        <v>150</v>
      </c>
      <c r="S1180" s="87">
        <f t="shared" si="249"/>
        <v>15557.3</v>
      </c>
    </row>
    <row r="1181" spans="1:19" ht="33">
      <c r="A1181" s="62" t="str">
        <f ca="1">IF(ISERROR(MATCH(F1181,Код_КВР,0)),"",INDIRECT(ADDRESS(MATCH(F1181,Код_КВР,0)+1,2,,,"КВР")))</f>
        <v>Предоставление субсидий бюджетным, автономным учреждениям и иным некоммерческим организациям</v>
      </c>
      <c r="B1181" s="115">
        <v>809</v>
      </c>
      <c r="C1181" s="8" t="s">
        <v>232</v>
      </c>
      <c r="D1181" s="8" t="s">
        <v>221</v>
      </c>
      <c r="E1181" s="115" t="s">
        <v>536</v>
      </c>
      <c r="F1181" s="115">
        <v>600</v>
      </c>
      <c r="G1181" s="70">
        <f>G1182+G1184</f>
        <v>18569.3</v>
      </c>
      <c r="H1181" s="70">
        <f>H1182+H1184</f>
        <v>0</v>
      </c>
      <c r="I1181" s="70">
        <f t="shared" si="248"/>
        <v>18569.3</v>
      </c>
      <c r="J1181" s="70">
        <f>J1182+J1184</f>
        <v>0</v>
      </c>
      <c r="K1181" s="87">
        <f t="shared" si="243"/>
        <v>18569.3</v>
      </c>
      <c r="L1181" s="13">
        <f>L1182+L1184</f>
        <v>0</v>
      </c>
      <c r="M1181" s="87">
        <f t="shared" si="245"/>
        <v>18569.3</v>
      </c>
      <c r="N1181" s="13">
        <f>N1182+N1184</f>
        <v>0</v>
      </c>
      <c r="O1181" s="87">
        <f t="shared" si="246"/>
        <v>18569.3</v>
      </c>
      <c r="P1181" s="13">
        <f>P1182+P1184</f>
        <v>-3162</v>
      </c>
      <c r="Q1181" s="87">
        <f t="shared" si="250"/>
        <v>15407.3</v>
      </c>
      <c r="R1181" s="13">
        <f>R1182+R1184</f>
        <v>150</v>
      </c>
      <c r="S1181" s="87">
        <f t="shared" si="249"/>
        <v>15557.3</v>
      </c>
    </row>
    <row r="1182" spans="1:19" ht="12.75">
      <c r="A1182" s="62" t="str">
        <f ca="1">IF(ISERROR(MATCH(F1182,Код_КВР,0)),"",INDIRECT(ADDRESS(MATCH(F1182,Код_КВР,0)+1,2,,,"КВР")))</f>
        <v>Субсидии бюджетным учреждениям</v>
      </c>
      <c r="B1182" s="115">
        <v>809</v>
      </c>
      <c r="C1182" s="8" t="s">
        <v>232</v>
      </c>
      <c r="D1182" s="8" t="s">
        <v>221</v>
      </c>
      <c r="E1182" s="115" t="s">
        <v>536</v>
      </c>
      <c r="F1182" s="115">
        <v>610</v>
      </c>
      <c r="G1182" s="70">
        <f>G1183</f>
        <v>15637.3</v>
      </c>
      <c r="H1182" s="70">
        <f>H1183</f>
        <v>0</v>
      </c>
      <c r="I1182" s="70">
        <f t="shared" si="248"/>
        <v>15637.3</v>
      </c>
      <c r="J1182" s="70">
        <f>J1183</f>
        <v>0</v>
      </c>
      <c r="K1182" s="87">
        <f t="shared" si="243"/>
        <v>15637.3</v>
      </c>
      <c r="L1182" s="13">
        <f>L1183</f>
        <v>0</v>
      </c>
      <c r="M1182" s="87">
        <f t="shared" si="245"/>
        <v>15637.3</v>
      </c>
      <c r="N1182" s="13">
        <f>N1183</f>
        <v>0</v>
      </c>
      <c r="O1182" s="87">
        <f t="shared" si="246"/>
        <v>15637.3</v>
      </c>
      <c r="P1182" s="13">
        <f>P1183</f>
        <v>-2986.3</v>
      </c>
      <c r="Q1182" s="87">
        <f t="shared" si="250"/>
        <v>12651</v>
      </c>
      <c r="R1182" s="13">
        <f>R1183</f>
        <v>-304.5</v>
      </c>
      <c r="S1182" s="87">
        <f t="shared" si="249"/>
        <v>12346.5</v>
      </c>
    </row>
    <row r="1183" spans="1:19" ht="49.5">
      <c r="A1183" s="62" t="str">
        <f ca="1">IF(ISERROR(MATCH(F1183,Код_КВР,0)),"",INDIRECT(ADDRESS(MATCH(F1183,Код_КВР,0)+1,2,,,"КВР")))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83" s="115">
        <v>809</v>
      </c>
      <c r="C1183" s="8" t="s">
        <v>232</v>
      </c>
      <c r="D1183" s="8" t="s">
        <v>221</v>
      </c>
      <c r="E1183" s="115" t="s">
        <v>536</v>
      </c>
      <c r="F1183" s="115">
        <v>611</v>
      </c>
      <c r="G1183" s="70">
        <v>15637.3</v>
      </c>
      <c r="H1183" s="70"/>
      <c r="I1183" s="70">
        <f t="shared" si="248"/>
        <v>15637.3</v>
      </c>
      <c r="J1183" s="70"/>
      <c r="K1183" s="87">
        <f t="shared" si="243"/>
        <v>15637.3</v>
      </c>
      <c r="L1183" s="13"/>
      <c r="M1183" s="87">
        <f t="shared" si="245"/>
        <v>15637.3</v>
      </c>
      <c r="N1183" s="13"/>
      <c r="O1183" s="87">
        <f t="shared" si="246"/>
        <v>15637.3</v>
      </c>
      <c r="P1183" s="13">
        <v>-2986.3</v>
      </c>
      <c r="Q1183" s="87">
        <f t="shared" si="250"/>
        <v>12651</v>
      </c>
      <c r="R1183" s="13">
        <v>-304.5</v>
      </c>
      <c r="S1183" s="87">
        <f t="shared" si="249"/>
        <v>12346.5</v>
      </c>
    </row>
    <row r="1184" spans="1:19" ht="12.75">
      <c r="A1184" s="62" t="str">
        <f ca="1">IF(ISERROR(MATCH(F1184,Код_КВР,0)),"",INDIRECT(ADDRESS(MATCH(F1184,Код_КВР,0)+1,2,,,"КВР")))</f>
        <v>Субсидии автономным учреждениям</v>
      </c>
      <c r="B1184" s="115">
        <v>809</v>
      </c>
      <c r="C1184" s="8" t="s">
        <v>232</v>
      </c>
      <c r="D1184" s="8" t="s">
        <v>221</v>
      </c>
      <c r="E1184" s="115" t="s">
        <v>536</v>
      </c>
      <c r="F1184" s="115">
        <v>620</v>
      </c>
      <c r="G1184" s="70">
        <f>G1185</f>
        <v>2932</v>
      </c>
      <c r="H1184" s="70">
        <f>H1185</f>
        <v>0</v>
      </c>
      <c r="I1184" s="70">
        <f t="shared" si="248"/>
        <v>2932</v>
      </c>
      <c r="J1184" s="70">
        <f>J1185</f>
        <v>0</v>
      </c>
      <c r="K1184" s="87">
        <f t="shared" si="243"/>
        <v>2932</v>
      </c>
      <c r="L1184" s="13">
        <f>L1185</f>
        <v>0</v>
      </c>
      <c r="M1184" s="87">
        <f t="shared" si="245"/>
        <v>2932</v>
      </c>
      <c r="N1184" s="13">
        <f>N1185</f>
        <v>0</v>
      </c>
      <c r="O1184" s="87">
        <f t="shared" si="246"/>
        <v>2932</v>
      </c>
      <c r="P1184" s="13">
        <f>P1185</f>
        <v>-175.7</v>
      </c>
      <c r="Q1184" s="87">
        <f t="shared" si="250"/>
        <v>2756.3</v>
      </c>
      <c r="R1184" s="13">
        <f>R1185</f>
        <v>454.5</v>
      </c>
      <c r="S1184" s="87">
        <f t="shared" si="249"/>
        <v>3210.8</v>
      </c>
    </row>
    <row r="1185" spans="1:19" ht="49.5">
      <c r="A1185" s="62" t="str">
        <f ca="1">IF(ISERROR(MATCH(F1185,Код_КВР,0)),"",INDIRECT(ADDRESS(MATCH(F1185,Код_КВР,0)+1,2,,,"КВР")))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85" s="115">
        <v>809</v>
      </c>
      <c r="C1185" s="8" t="s">
        <v>232</v>
      </c>
      <c r="D1185" s="8" t="s">
        <v>221</v>
      </c>
      <c r="E1185" s="115" t="s">
        <v>536</v>
      </c>
      <c r="F1185" s="115">
        <v>621</v>
      </c>
      <c r="G1185" s="70">
        <v>2932</v>
      </c>
      <c r="H1185" s="70"/>
      <c r="I1185" s="70">
        <f t="shared" si="248"/>
        <v>2932</v>
      </c>
      <c r="J1185" s="70"/>
      <c r="K1185" s="87">
        <f t="shared" si="243"/>
        <v>2932</v>
      </c>
      <c r="L1185" s="13"/>
      <c r="M1185" s="87">
        <f t="shared" si="245"/>
        <v>2932</v>
      </c>
      <c r="N1185" s="13"/>
      <c r="O1185" s="87">
        <f t="shared" si="246"/>
        <v>2932</v>
      </c>
      <c r="P1185" s="13">
        <v>-175.7</v>
      </c>
      <c r="Q1185" s="87">
        <f t="shared" si="250"/>
        <v>2756.3</v>
      </c>
      <c r="R1185" s="13">
        <f>304.5+150</f>
        <v>454.5</v>
      </c>
      <c r="S1185" s="87">
        <f t="shared" si="249"/>
        <v>3210.8</v>
      </c>
    </row>
    <row r="1186" spans="1:19" ht="12.75">
      <c r="A1186" s="62" t="str">
        <f ca="1">IF(ISERROR(MATCH(E1186,Код_КЦСР,0)),"",INDIRECT(ADDRESS(MATCH(E1186,Код_КЦСР,0)+1,2,,,"КЦСР")))</f>
        <v>Популяризация физической культуры и спорта</v>
      </c>
      <c r="B1186" s="115">
        <v>809</v>
      </c>
      <c r="C1186" s="8" t="s">
        <v>232</v>
      </c>
      <c r="D1186" s="8" t="s">
        <v>221</v>
      </c>
      <c r="E1186" s="115" t="s">
        <v>539</v>
      </c>
      <c r="F1186" s="115"/>
      <c r="G1186" s="70">
        <f>G1187+G1190</f>
        <v>4638.1</v>
      </c>
      <c r="H1186" s="70">
        <f>H1187+H1190</f>
        <v>0</v>
      </c>
      <c r="I1186" s="70">
        <f t="shared" si="248"/>
        <v>4638.1</v>
      </c>
      <c r="J1186" s="70">
        <f>J1187+J1190</f>
        <v>0</v>
      </c>
      <c r="K1186" s="87">
        <f t="shared" si="243"/>
        <v>4638.1</v>
      </c>
      <c r="L1186" s="13">
        <f>L1187+L1190</f>
        <v>0</v>
      </c>
      <c r="M1186" s="87">
        <f t="shared" si="245"/>
        <v>4638.1</v>
      </c>
      <c r="N1186" s="13">
        <f>N1187+N1190</f>
        <v>0</v>
      </c>
      <c r="O1186" s="87">
        <f t="shared" si="246"/>
        <v>4638.1</v>
      </c>
      <c r="P1186" s="13">
        <f>P1187+P1190</f>
        <v>-797.5</v>
      </c>
      <c r="Q1186" s="87">
        <f t="shared" si="250"/>
        <v>3840.6000000000004</v>
      </c>
      <c r="R1186" s="13">
        <f>R1187+R1190</f>
        <v>-149.99999999999994</v>
      </c>
      <c r="S1186" s="87">
        <f t="shared" si="249"/>
        <v>3690.6000000000004</v>
      </c>
    </row>
    <row r="1187" spans="1:19" ht="12.75">
      <c r="A1187" s="62" t="str">
        <f aca="true" t="shared" si="252" ref="A1187:A1194">IF(ISERROR(MATCH(F1187,Код_КВР,0)),"",INDIRECT(ADDRESS(MATCH(F1187,Код_КВР,0)+1,2,,,"КВР")))</f>
        <v>Закупка товаров, работ и услуг для муниципальных нужд</v>
      </c>
      <c r="B1187" s="115">
        <v>809</v>
      </c>
      <c r="C1187" s="8" t="s">
        <v>232</v>
      </c>
      <c r="D1187" s="8" t="s">
        <v>221</v>
      </c>
      <c r="E1187" s="115" t="s">
        <v>539</v>
      </c>
      <c r="F1187" s="115">
        <v>200</v>
      </c>
      <c r="G1187" s="70">
        <f>G1188</f>
        <v>622.8</v>
      </c>
      <c r="H1187" s="70">
        <f>H1188</f>
        <v>0</v>
      </c>
      <c r="I1187" s="70">
        <f t="shared" si="248"/>
        <v>622.8</v>
      </c>
      <c r="J1187" s="70">
        <f>J1188</f>
        <v>0</v>
      </c>
      <c r="K1187" s="87">
        <f t="shared" si="243"/>
        <v>622.8</v>
      </c>
      <c r="L1187" s="13">
        <f>L1188</f>
        <v>0</v>
      </c>
      <c r="M1187" s="87">
        <f t="shared" si="245"/>
        <v>622.8</v>
      </c>
      <c r="N1187" s="13">
        <f>N1188</f>
        <v>0</v>
      </c>
      <c r="O1187" s="87">
        <f t="shared" si="246"/>
        <v>622.8</v>
      </c>
      <c r="P1187" s="13">
        <f>P1188</f>
        <v>0</v>
      </c>
      <c r="Q1187" s="87">
        <f t="shared" si="250"/>
        <v>622.8</v>
      </c>
      <c r="R1187" s="13">
        <f>R1188</f>
        <v>-592.8</v>
      </c>
      <c r="S1187" s="87">
        <f t="shared" si="249"/>
        <v>30</v>
      </c>
    </row>
    <row r="1188" spans="1:19" ht="33">
      <c r="A1188" s="62" t="str">
        <f ca="1" t="shared" si="252"/>
        <v>Иные закупки товаров, работ и услуг для обеспечения муниципальных нужд</v>
      </c>
      <c r="B1188" s="115">
        <v>809</v>
      </c>
      <c r="C1188" s="8" t="s">
        <v>232</v>
      </c>
      <c r="D1188" s="8" t="s">
        <v>221</v>
      </c>
      <c r="E1188" s="115" t="s">
        <v>539</v>
      </c>
      <c r="F1188" s="115">
        <v>240</v>
      </c>
      <c r="G1188" s="70">
        <f>G1189</f>
        <v>622.8</v>
      </c>
      <c r="H1188" s="70">
        <f>H1189</f>
        <v>0</v>
      </c>
      <c r="I1188" s="70">
        <f t="shared" si="248"/>
        <v>622.8</v>
      </c>
      <c r="J1188" s="70">
        <f>J1189</f>
        <v>0</v>
      </c>
      <c r="K1188" s="87">
        <f t="shared" si="243"/>
        <v>622.8</v>
      </c>
      <c r="L1188" s="13">
        <f>L1189</f>
        <v>0</v>
      </c>
      <c r="M1188" s="87">
        <f t="shared" si="245"/>
        <v>622.8</v>
      </c>
      <c r="N1188" s="13">
        <f>N1189</f>
        <v>0</v>
      </c>
      <c r="O1188" s="87">
        <f t="shared" si="246"/>
        <v>622.8</v>
      </c>
      <c r="P1188" s="13">
        <f>P1189</f>
        <v>0</v>
      </c>
      <c r="Q1188" s="87">
        <f t="shared" si="250"/>
        <v>622.8</v>
      </c>
      <c r="R1188" s="13">
        <f>R1189</f>
        <v>-592.8</v>
      </c>
      <c r="S1188" s="87">
        <f t="shared" si="249"/>
        <v>30</v>
      </c>
    </row>
    <row r="1189" spans="1:19" ht="33">
      <c r="A1189" s="62" t="str">
        <f ca="1" t="shared" si="252"/>
        <v xml:space="preserve">Прочая закупка товаров, работ и услуг для обеспечения муниципальных нужд         </v>
      </c>
      <c r="B1189" s="115">
        <v>809</v>
      </c>
      <c r="C1189" s="8" t="s">
        <v>232</v>
      </c>
      <c r="D1189" s="8" t="s">
        <v>221</v>
      </c>
      <c r="E1189" s="115" t="s">
        <v>539</v>
      </c>
      <c r="F1189" s="115">
        <v>244</v>
      </c>
      <c r="G1189" s="70">
        <v>622.8</v>
      </c>
      <c r="H1189" s="70"/>
      <c r="I1189" s="70">
        <f t="shared" si="248"/>
        <v>622.8</v>
      </c>
      <c r="J1189" s="70"/>
      <c r="K1189" s="87">
        <f t="shared" si="243"/>
        <v>622.8</v>
      </c>
      <c r="L1189" s="13"/>
      <c r="M1189" s="87">
        <f t="shared" si="245"/>
        <v>622.8</v>
      </c>
      <c r="N1189" s="13"/>
      <c r="O1189" s="87">
        <f t="shared" si="246"/>
        <v>622.8</v>
      </c>
      <c r="P1189" s="13"/>
      <c r="Q1189" s="87">
        <f>O1189+P1189</f>
        <v>622.8</v>
      </c>
      <c r="R1189" s="13">
        <f>-353.9-88.4-150.5</f>
        <v>-592.8</v>
      </c>
      <c r="S1189" s="87">
        <f t="shared" si="249"/>
        <v>30</v>
      </c>
    </row>
    <row r="1190" spans="1:19" ht="33">
      <c r="A1190" s="62" t="str">
        <f ca="1" t="shared" si="252"/>
        <v>Предоставление субсидий бюджетным, автономным учреждениям и иным некоммерческим организациям</v>
      </c>
      <c r="B1190" s="115">
        <v>809</v>
      </c>
      <c r="C1190" s="8" t="s">
        <v>232</v>
      </c>
      <c r="D1190" s="8" t="s">
        <v>221</v>
      </c>
      <c r="E1190" s="115" t="s">
        <v>539</v>
      </c>
      <c r="F1190" s="115">
        <v>600</v>
      </c>
      <c r="G1190" s="70">
        <f>G1191+G1193</f>
        <v>4015.3</v>
      </c>
      <c r="H1190" s="70">
        <f>H1191+H1193</f>
        <v>0</v>
      </c>
      <c r="I1190" s="70">
        <f t="shared" si="248"/>
        <v>4015.3</v>
      </c>
      <c r="J1190" s="70">
        <f>J1191+J1193</f>
        <v>0</v>
      </c>
      <c r="K1190" s="87">
        <f t="shared" si="243"/>
        <v>4015.3</v>
      </c>
      <c r="L1190" s="13">
        <f>L1191+L1193</f>
        <v>0</v>
      </c>
      <c r="M1190" s="87">
        <f t="shared" si="245"/>
        <v>4015.3</v>
      </c>
      <c r="N1190" s="13">
        <f>N1191+N1193</f>
        <v>0</v>
      </c>
      <c r="O1190" s="87">
        <f t="shared" si="246"/>
        <v>4015.3</v>
      </c>
      <c r="P1190" s="13">
        <f>P1191+P1193</f>
        <v>-797.5</v>
      </c>
      <c r="Q1190" s="87">
        <f t="shared" si="250"/>
        <v>3217.8</v>
      </c>
      <c r="R1190" s="13">
        <f>R1191+R1193</f>
        <v>442.8</v>
      </c>
      <c r="S1190" s="87">
        <f t="shared" si="249"/>
        <v>3660.6000000000004</v>
      </c>
    </row>
    <row r="1191" spans="1:19" ht="12.75">
      <c r="A1191" s="62" t="str">
        <f ca="1" t="shared" si="252"/>
        <v>Субсидии бюджетным учреждениям</v>
      </c>
      <c r="B1191" s="115">
        <v>809</v>
      </c>
      <c r="C1191" s="8" t="s">
        <v>232</v>
      </c>
      <c r="D1191" s="8" t="s">
        <v>221</v>
      </c>
      <c r="E1191" s="115" t="s">
        <v>539</v>
      </c>
      <c r="F1191" s="115">
        <v>610</v>
      </c>
      <c r="G1191" s="70">
        <f>G1192</f>
        <v>2939.9</v>
      </c>
      <c r="H1191" s="70">
        <f>H1192</f>
        <v>0</v>
      </c>
      <c r="I1191" s="70">
        <f t="shared" si="248"/>
        <v>2939.9</v>
      </c>
      <c r="J1191" s="70">
        <f>J1192</f>
        <v>0</v>
      </c>
      <c r="K1191" s="87">
        <f t="shared" si="243"/>
        <v>2939.9</v>
      </c>
      <c r="L1191" s="13">
        <f>L1192</f>
        <v>0</v>
      </c>
      <c r="M1191" s="87">
        <f t="shared" si="245"/>
        <v>2939.9</v>
      </c>
      <c r="N1191" s="13">
        <f>N1192</f>
        <v>0</v>
      </c>
      <c r="O1191" s="87">
        <f t="shared" si="246"/>
        <v>2939.9</v>
      </c>
      <c r="P1191" s="13">
        <f>P1192</f>
        <v>-794.5</v>
      </c>
      <c r="Q1191" s="87">
        <f t="shared" si="250"/>
        <v>2145.4</v>
      </c>
      <c r="R1191" s="13">
        <f>R1192</f>
        <v>-23</v>
      </c>
      <c r="S1191" s="87">
        <f t="shared" si="249"/>
        <v>2122.4</v>
      </c>
    </row>
    <row r="1192" spans="1:19" ht="49.5">
      <c r="A1192" s="62" t="str">
        <f ca="1" t="shared" si="25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92" s="115">
        <v>809</v>
      </c>
      <c r="C1192" s="8" t="s">
        <v>232</v>
      </c>
      <c r="D1192" s="8" t="s">
        <v>221</v>
      </c>
      <c r="E1192" s="115" t="s">
        <v>539</v>
      </c>
      <c r="F1192" s="115">
        <v>611</v>
      </c>
      <c r="G1192" s="70">
        <v>2939.9</v>
      </c>
      <c r="H1192" s="70"/>
      <c r="I1192" s="70">
        <f t="shared" si="248"/>
        <v>2939.9</v>
      </c>
      <c r="J1192" s="70"/>
      <c r="K1192" s="87">
        <f t="shared" si="243"/>
        <v>2939.9</v>
      </c>
      <c r="L1192" s="13"/>
      <c r="M1192" s="87">
        <f aca="true" t="shared" si="253" ref="M1192:M1255">K1192+L1192</f>
        <v>2939.9</v>
      </c>
      <c r="N1192" s="13"/>
      <c r="O1192" s="87">
        <f aca="true" t="shared" si="254" ref="O1192:O1255">M1192+N1192</f>
        <v>2939.9</v>
      </c>
      <c r="P1192" s="13">
        <v>-794.5</v>
      </c>
      <c r="Q1192" s="87">
        <f t="shared" si="250"/>
        <v>2145.4</v>
      </c>
      <c r="R1192" s="13">
        <f>-23</f>
        <v>-23</v>
      </c>
      <c r="S1192" s="87">
        <f t="shared" si="249"/>
        <v>2122.4</v>
      </c>
    </row>
    <row r="1193" spans="1:19" ht="12.75">
      <c r="A1193" s="62" t="str">
        <f ca="1" t="shared" si="252"/>
        <v>Субсидии автономным учреждениям</v>
      </c>
      <c r="B1193" s="115">
        <v>809</v>
      </c>
      <c r="C1193" s="8" t="s">
        <v>232</v>
      </c>
      <c r="D1193" s="8" t="s">
        <v>221</v>
      </c>
      <c r="E1193" s="115" t="s">
        <v>539</v>
      </c>
      <c r="F1193" s="115">
        <v>620</v>
      </c>
      <c r="G1193" s="70">
        <f>G1194</f>
        <v>1075.4</v>
      </c>
      <c r="H1193" s="70">
        <f>H1194</f>
        <v>0</v>
      </c>
      <c r="I1193" s="70">
        <f t="shared" si="248"/>
        <v>1075.4</v>
      </c>
      <c r="J1193" s="70">
        <f>J1194</f>
        <v>0</v>
      </c>
      <c r="K1193" s="87">
        <f t="shared" si="243"/>
        <v>1075.4</v>
      </c>
      <c r="L1193" s="13">
        <f>L1194</f>
        <v>0</v>
      </c>
      <c r="M1193" s="87">
        <f t="shared" si="253"/>
        <v>1075.4</v>
      </c>
      <c r="N1193" s="13">
        <f>N1194</f>
        <v>0</v>
      </c>
      <c r="O1193" s="87">
        <f t="shared" si="254"/>
        <v>1075.4</v>
      </c>
      <c r="P1193" s="13">
        <f>P1194</f>
        <v>-3</v>
      </c>
      <c r="Q1193" s="87">
        <f t="shared" si="250"/>
        <v>1072.4</v>
      </c>
      <c r="R1193" s="13">
        <f>R1194</f>
        <v>465.8</v>
      </c>
      <c r="S1193" s="87">
        <f t="shared" si="249"/>
        <v>1538.2</v>
      </c>
    </row>
    <row r="1194" spans="1:19" ht="49.5">
      <c r="A1194" s="62" t="str">
        <f ca="1" t="shared" si="252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94" s="115">
        <v>809</v>
      </c>
      <c r="C1194" s="8" t="s">
        <v>232</v>
      </c>
      <c r="D1194" s="8" t="s">
        <v>221</v>
      </c>
      <c r="E1194" s="115" t="s">
        <v>539</v>
      </c>
      <c r="F1194" s="115">
        <v>621</v>
      </c>
      <c r="G1194" s="70">
        <v>1075.4</v>
      </c>
      <c r="H1194" s="70"/>
      <c r="I1194" s="70">
        <f t="shared" si="248"/>
        <v>1075.4</v>
      </c>
      <c r="J1194" s="70"/>
      <c r="K1194" s="87">
        <f t="shared" si="243"/>
        <v>1075.4</v>
      </c>
      <c r="L1194" s="13"/>
      <c r="M1194" s="87">
        <f t="shared" si="253"/>
        <v>1075.4</v>
      </c>
      <c r="N1194" s="13"/>
      <c r="O1194" s="87">
        <f t="shared" si="254"/>
        <v>1075.4</v>
      </c>
      <c r="P1194" s="13">
        <v>-3</v>
      </c>
      <c r="Q1194" s="87">
        <f t="shared" si="250"/>
        <v>1072.4</v>
      </c>
      <c r="R1194" s="13">
        <f>23+442.8</f>
        <v>465.8</v>
      </c>
      <c r="S1194" s="87">
        <f t="shared" si="249"/>
        <v>1538.2</v>
      </c>
    </row>
    <row r="1195" spans="1:19" ht="12.75">
      <c r="A1195" s="62" t="str">
        <f ca="1">IF(ISERROR(MATCH(E1195,Код_КЦСР,0)),"",INDIRECT(ADDRESS(MATCH(E1195,Код_КЦСР,0)+1,2,,,"КЦСР")))</f>
        <v>Спортивный город</v>
      </c>
      <c r="B1195" s="115">
        <v>809</v>
      </c>
      <c r="C1195" s="8" t="s">
        <v>232</v>
      </c>
      <c r="D1195" s="8" t="s">
        <v>221</v>
      </c>
      <c r="E1195" s="115" t="s">
        <v>541</v>
      </c>
      <c r="F1195" s="115"/>
      <c r="G1195" s="70">
        <f>G1196</f>
        <v>5255.6</v>
      </c>
      <c r="H1195" s="70">
        <f>H1196</f>
        <v>10000</v>
      </c>
      <c r="I1195" s="70">
        <f t="shared" si="248"/>
        <v>15255.6</v>
      </c>
      <c r="J1195" s="70">
        <f>J1196</f>
        <v>-205</v>
      </c>
      <c r="K1195" s="87">
        <f t="shared" si="243"/>
        <v>15050.6</v>
      </c>
      <c r="L1195" s="13">
        <f>L1196</f>
        <v>0</v>
      </c>
      <c r="M1195" s="87">
        <f t="shared" si="253"/>
        <v>15050.6</v>
      </c>
      <c r="N1195" s="13">
        <f>N1196</f>
        <v>0</v>
      </c>
      <c r="O1195" s="87">
        <f t="shared" si="254"/>
        <v>15050.6</v>
      </c>
      <c r="P1195" s="13">
        <f>P1196</f>
        <v>0</v>
      </c>
      <c r="Q1195" s="87">
        <f t="shared" si="250"/>
        <v>15050.6</v>
      </c>
      <c r="R1195" s="13">
        <f>R1196</f>
        <v>20000</v>
      </c>
      <c r="S1195" s="87">
        <f t="shared" si="249"/>
        <v>35050.6</v>
      </c>
    </row>
    <row r="1196" spans="1:19" ht="33">
      <c r="A1196" s="62" t="str">
        <f ca="1">IF(ISERROR(MATCH(F1196,Код_КВР,0)),"",INDIRECT(ADDRESS(MATCH(F1196,Код_КВР,0)+1,2,,,"КВР")))</f>
        <v>Предоставление субсидий бюджетным, автономным учреждениям и иным некоммерческим организациям</v>
      </c>
      <c r="B1196" s="115">
        <v>809</v>
      </c>
      <c r="C1196" s="8" t="s">
        <v>232</v>
      </c>
      <c r="D1196" s="8" t="s">
        <v>221</v>
      </c>
      <c r="E1196" s="115" t="s">
        <v>541</v>
      </c>
      <c r="F1196" s="115">
        <v>600</v>
      </c>
      <c r="G1196" s="70">
        <f>G1197+G1199</f>
        <v>5255.6</v>
      </c>
      <c r="H1196" s="70">
        <f>H1197+H1199</f>
        <v>10000</v>
      </c>
      <c r="I1196" s="70">
        <f t="shared" si="248"/>
        <v>15255.6</v>
      </c>
      <c r="J1196" s="70">
        <f>J1197+J1199</f>
        <v>-205</v>
      </c>
      <c r="K1196" s="87">
        <f aca="true" t="shared" si="255" ref="K1196:K1270">I1196+J1196</f>
        <v>15050.6</v>
      </c>
      <c r="L1196" s="13">
        <f>L1197+L1199</f>
        <v>0</v>
      </c>
      <c r="M1196" s="87">
        <f t="shared" si="253"/>
        <v>15050.6</v>
      </c>
      <c r="N1196" s="13">
        <f>N1197+N1199</f>
        <v>0</v>
      </c>
      <c r="O1196" s="87">
        <f t="shared" si="254"/>
        <v>15050.6</v>
      </c>
      <c r="P1196" s="13">
        <f>P1197+P1199</f>
        <v>0</v>
      </c>
      <c r="Q1196" s="87">
        <f t="shared" si="250"/>
        <v>15050.6</v>
      </c>
      <c r="R1196" s="13">
        <f>R1197+R1199</f>
        <v>20000</v>
      </c>
      <c r="S1196" s="87">
        <f t="shared" si="249"/>
        <v>35050.6</v>
      </c>
    </row>
    <row r="1197" spans="1:19" ht="12.75">
      <c r="A1197" s="62" t="str">
        <f ca="1">IF(ISERROR(MATCH(F1197,Код_КВР,0)),"",INDIRECT(ADDRESS(MATCH(F1197,Код_КВР,0)+1,2,,,"КВР")))</f>
        <v>Субсидии автономным учреждениям</v>
      </c>
      <c r="B1197" s="115">
        <v>809</v>
      </c>
      <c r="C1197" s="8" t="s">
        <v>232</v>
      </c>
      <c r="D1197" s="8" t="s">
        <v>221</v>
      </c>
      <c r="E1197" s="115" t="s">
        <v>541</v>
      </c>
      <c r="F1197" s="115">
        <v>620</v>
      </c>
      <c r="G1197" s="70">
        <f>G1198</f>
        <v>5005.6</v>
      </c>
      <c r="H1197" s="70">
        <f>H1198</f>
        <v>0</v>
      </c>
      <c r="I1197" s="70">
        <f t="shared" si="248"/>
        <v>5005.6</v>
      </c>
      <c r="J1197" s="70">
        <f>J1198</f>
        <v>-255</v>
      </c>
      <c r="K1197" s="87">
        <f t="shared" si="255"/>
        <v>4750.6</v>
      </c>
      <c r="L1197" s="13">
        <f>L1198</f>
        <v>0</v>
      </c>
      <c r="M1197" s="87">
        <f t="shared" si="253"/>
        <v>4750.6</v>
      </c>
      <c r="N1197" s="13">
        <f>N1198</f>
        <v>0</v>
      </c>
      <c r="O1197" s="87">
        <f t="shared" si="254"/>
        <v>4750.6</v>
      </c>
      <c r="P1197" s="13">
        <f>P1198</f>
        <v>0</v>
      </c>
      <c r="Q1197" s="87">
        <f t="shared" si="250"/>
        <v>4750.6</v>
      </c>
      <c r="R1197" s="13">
        <f>R1198</f>
        <v>0</v>
      </c>
      <c r="S1197" s="87">
        <f t="shared" si="249"/>
        <v>4750.6</v>
      </c>
    </row>
    <row r="1198" spans="1:19" ht="12.75">
      <c r="A1198" s="62" t="str">
        <f ca="1">IF(ISERROR(MATCH(F1198,Код_КВР,0)),"",INDIRECT(ADDRESS(MATCH(F1198,Код_КВР,0)+1,2,,,"КВР")))</f>
        <v>Субсидии автономным учреждениям на иные цели</v>
      </c>
      <c r="B1198" s="115">
        <v>809</v>
      </c>
      <c r="C1198" s="8" t="s">
        <v>232</v>
      </c>
      <c r="D1198" s="8" t="s">
        <v>221</v>
      </c>
      <c r="E1198" s="115" t="s">
        <v>541</v>
      </c>
      <c r="F1198" s="115">
        <v>622</v>
      </c>
      <c r="G1198" s="70">
        <v>5005.6</v>
      </c>
      <c r="H1198" s="70"/>
      <c r="I1198" s="70">
        <f t="shared" si="248"/>
        <v>5005.6</v>
      </c>
      <c r="J1198" s="70">
        <v>-255</v>
      </c>
      <c r="K1198" s="87">
        <f t="shared" si="255"/>
        <v>4750.6</v>
      </c>
      <c r="L1198" s="13"/>
      <c r="M1198" s="87">
        <f t="shared" si="253"/>
        <v>4750.6</v>
      </c>
      <c r="N1198" s="13"/>
      <c r="O1198" s="87">
        <f t="shared" si="254"/>
        <v>4750.6</v>
      </c>
      <c r="P1198" s="13"/>
      <c r="Q1198" s="87">
        <f t="shared" si="250"/>
        <v>4750.6</v>
      </c>
      <c r="R1198" s="13"/>
      <c r="S1198" s="87">
        <f t="shared" si="249"/>
        <v>4750.6</v>
      </c>
    </row>
    <row r="1199" spans="1:19" ht="33">
      <c r="A1199" s="62" t="str">
        <f ca="1">IF(ISERROR(MATCH(F1199,Код_КВР,0)),"",INDIRECT(ADDRESS(MATCH(F1199,Код_КВР,0)+1,2,,,"КВР")))</f>
        <v>Субсидии некоммерческим организациям (за исключением государственных (муниципальных) учреждений)</v>
      </c>
      <c r="B1199" s="115">
        <v>809</v>
      </c>
      <c r="C1199" s="8" t="s">
        <v>232</v>
      </c>
      <c r="D1199" s="8" t="s">
        <v>221</v>
      </c>
      <c r="E1199" s="115" t="s">
        <v>541</v>
      </c>
      <c r="F1199" s="115">
        <v>630</v>
      </c>
      <c r="G1199" s="70">
        <v>250</v>
      </c>
      <c r="H1199" s="70">
        <v>10000</v>
      </c>
      <c r="I1199" s="70">
        <f t="shared" si="248"/>
        <v>10250</v>
      </c>
      <c r="J1199" s="70">
        <v>50</v>
      </c>
      <c r="K1199" s="87">
        <f t="shared" si="255"/>
        <v>10300</v>
      </c>
      <c r="L1199" s="13"/>
      <c r="M1199" s="87">
        <f t="shared" si="253"/>
        <v>10300</v>
      </c>
      <c r="N1199" s="13"/>
      <c r="O1199" s="87">
        <f t="shared" si="254"/>
        <v>10300</v>
      </c>
      <c r="P1199" s="13"/>
      <c r="Q1199" s="87">
        <f t="shared" si="250"/>
        <v>10300</v>
      </c>
      <c r="R1199" s="13">
        <v>20000</v>
      </c>
      <c r="S1199" s="87">
        <f t="shared" si="249"/>
        <v>30300</v>
      </c>
    </row>
    <row r="1200" spans="1:19" ht="12.75" hidden="1">
      <c r="A1200" s="62" t="str">
        <f ca="1">IF(ISERROR(MATCH(E1200,Код_КЦСР,0)),"",INDIRECT(ADDRESS(MATCH(E1200,Код_КЦСР,0)+1,2,,,"КЦСР")))</f>
        <v>Муниципальная программа «Здоровый город» на 2014-2022 годы</v>
      </c>
      <c r="B1200" s="115">
        <v>809</v>
      </c>
      <c r="C1200" s="8" t="s">
        <v>232</v>
      </c>
      <c r="D1200" s="8" t="s">
        <v>221</v>
      </c>
      <c r="E1200" s="115" t="s">
        <v>579</v>
      </c>
      <c r="F1200" s="115"/>
      <c r="G1200" s="70">
        <f aca="true" t="shared" si="256" ref="G1200:R1203">G1201</f>
        <v>0</v>
      </c>
      <c r="H1200" s="70">
        <f t="shared" si="256"/>
        <v>0</v>
      </c>
      <c r="I1200" s="70">
        <f t="shared" si="248"/>
        <v>0</v>
      </c>
      <c r="J1200" s="70">
        <f t="shared" si="256"/>
        <v>0</v>
      </c>
      <c r="K1200" s="87">
        <f t="shared" si="255"/>
        <v>0</v>
      </c>
      <c r="L1200" s="13">
        <f t="shared" si="256"/>
        <v>0</v>
      </c>
      <c r="M1200" s="87">
        <f t="shared" si="253"/>
        <v>0</v>
      </c>
      <c r="N1200" s="13">
        <f t="shared" si="256"/>
        <v>0</v>
      </c>
      <c r="O1200" s="87">
        <f t="shared" si="254"/>
        <v>0</v>
      </c>
      <c r="P1200" s="13">
        <f t="shared" si="256"/>
        <v>0</v>
      </c>
      <c r="Q1200" s="87">
        <f t="shared" si="250"/>
        <v>0</v>
      </c>
      <c r="R1200" s="13">
        <f t="shared" si="256"/>
        <v>0</v>
      </c>
      <c r="S1200" s="87">
        <f t="shared" si="249"/>
        <v>0</v>
      </c>
    </row>
    <row r="1201" spans="1:19" ht="12.75" hidden="1">
      <c r="A1201" s="62" t="str">
        <f ca="1">IF(ISERROR(MATCH(E1201,Код_КЦСР,0)),"",INDIRECT(ADDRESS(MATCH(E1201,Код_КЦСР,0)+1,2,,,"КЦСР")))</f>
        <v>Сохранение и укрепление здоровья детей и подростков</v>
      </c>
      <c r="B1201" s="115">
        <v>809</v>
      </c>
      <c r="C1201" s="8" t="s">
        <v>232</v>
      </c>
      <c r="D1201" s="8" t="s">
        <v>221</v>
      </c>
      <c r="E1201" s="115" t="s">
        <v>582</v>
      </c>
      <c r="F1201" s="115"/>
      <c r="G1201" s="70">
        <f t="shared" si="256"/>
        <v>0</v>
      </c>
      <c r="H1201" s="70">
        <f t="shared" si="256"/>
        <v>0</v>
      </c>
      <c r="I1201" s="70">
        <f t="shared" si="248"/>
        <v>0</v>
      </c>
      <c r="J1201" s="70">
        <f t="shared" si="256"/>
        <v>0</v>
      </c>
      <c r="K1201" s="87">
        <f t="shared" si="255"/>
        <v>0</v>
      </c>
      <c r="L1201" s="13">
        <f t="shared" si="256"/>
        <v>0</v>
      </c>
      <c r="M1201" s="87">
        <f t="shared" si="253"/>
        <v>0</v>
      </c>
      <c r="N1201" s="13">
        <f t="shared" si="256"/>
        <v>0</v>
      </c>
      <c r="O1201" s="87">
        <f t="shared" si="254"/>
        <v>0</v>
      </c>
      <c r="P1201" s="13">
        <f t="shared" si="256"/>
        <v>0</v>
      </c>
      <c r="Q1201" s="87">
        <f t="shared" si="250"/>
        <v>0</v>
      </c>
      <c r="R1201" s="13">
        <f t="shared" si="256"/>
        <v>0</v>
      </c>
      <c r="S1201" s="87">
        <f t="shared" si="249"/>
        <v>0</v>
      </c>
    </row>
    <row r="1202" spans="1:19" ht="33" hidden="1">
      <c r="A1202" s="62" t="str">
        <f ca="1">IF(ISERROR(MATCH(F1202,Код_КВР,0)),"",INDIRECT(ADDRESS(MATCH(F1202,Код_КВР,0)+1,2,,,"КВР")))</f>
        <v>Предоставление субсидий бюджетным, автономным учреждениям и иным некоммерческим организациям</v>
      </c>
      <c r="B1202" s="115">
        <v>809</v>
      </c>
      <c r="C1202" s="8" t="s">
        <v>232</v>
      </c>
      <c r="D1202" s="8" t="s">
        <v>221</v>
      </c>
      <c r="E1202" s="115" t="s">
        <v>582</v>
      </c>
      <c r="F1202" s="115">
        <v>600</v>
      </c>
      <c r="G1202" s="70">
        <f t="shared" si="256"/>
        <v>0</v>
      </c>
      <c r="H1202" s="70">
        <f t="shared" si="256"/>
        <v>0</v>
      </c>
      <c r="I1202" s="70">
        <f t="shared" si="248"/>
        <v>0</v>
      </c>
      <c r="J1202" s="70">
        <f t="shared" si="256"/>
        <v>0</v>
      </c>
      <c r="K1202" s="87">
        <f t="shared" si="255"/>
        <v>0</v>
      </c>
      <c r="L1202" s="13">
        <f t="shared" si="256"/>
        <v>0</v>
      </c>
      <c r="M1202" s="87">
        <f t="shared" si="253"/>
        <v>0</v>
      </c>
      <c r="N1202" s="13">
        <f t="shared" si="256"/>
        <v>0</v>
      </c>
      <c r="O1202" s="87">
        <f t="shared" si="254"/>
        <v>0</v>
      </c>
      <c r="P1202" s="13">
        <f t="shared" si="256"/>
        <v>0</v>
      </c>
      <c r="Q1202" s="87">
        <f t="shared" si="250"/>
        <v>0</v>
      </c>
      <c r="R1202" s="13">
        <f t="shared" si="256"/>
        <v>0</v>
      </c>
      <c r="S1202" s="87">
        <f t="shared" si="249"/>
        <v>0</v>
      </c>
    </row>
    <row r="1203" spans="1:19" ht="12.75" hidden="1">
      <c r="A1203" s="62" t="str">
        <f ca="1">IF(ISERROR(MATCH(F1203,Код_КВР,0)),"",INDIRECT(ADDRESS(MATCH(F1203,Код_КВР,0)+1,2,,,"КВР")))</f>
        <v>Субсидии автономным учреждениям</v>
      </c>
      <c r="B1203" s="115">
        <v>809</v>
      </c>
      <c r="C1203" s="8" t="s">
        <v>232</v>
      </c>
      <c r="D1203" s="8" t="s">
        <v>221</v>
      </c>
      <c r="E1203" s="115" t="s">
        <v>582</v>
      </c>
      <c r="F1203" s="115">
        <v>620</v>
      </c>
      <c r="G1203" s="70">
        <f t="shared" si="256"/>
        <v>0</v>
      </c>
      <c r="H1203" s="70">
        <f t="shared" si="256"/>
        <v>0</v>
      </c>
      <c r="I1203" s="70">
        <f t="shared" si="248"/>
        <v>0</v>
      </c>
      <c r="J1203" s="70">
        <f t="shared" si="256"/>
        <v>0</v>
      </c>
      <c r="K1203" s="87">
        <f t="shared" si="255"/>
        <v>0</v>
      </c>
      <c r="L1203" s="13">
        <f t="shared" si="256"/>
        <v>0</v>
      </c>
      <c r="M1203" s="87">
        <f t="shared" si="253"/>
        <v>0</v>
      </c>
      <c r="N1203" s="13">
        <f t="shared" si="256"/>
        <v>0</v>
      </c>
      <c r="O1203" s="87">
        <f t="shared" si="254"/>
        <v>0</v>
      </c>
      <c r="P1203" s="13">
        <f t="shared" si="256"/>
        <v>0</v>
      </c>
      <c r="Q1203" s="87">
        <f t="shared" si="250"/>
        <v>0</v>
      </c>
      <c r="R1203" s="13">
        <f t="shared" si="256"/>
        <v>0</v>
      </c>
      <c r="S1203" s="87">
        <f t="shared" si="249"/>
        <v>0</v>
      </c>
    </row>
    <row r="1204" spans="1:19" ht="12.75" hidden="1">
      <c r="A1204" s="62" t="str">
        <f ca="1">IF(ISERROR(MATCH(F1204,Код_КВР,0)),"",INDIRECT(ADDRESS(MATCH(F1204,Код_КВР,0)+1,2,,,"КВР")))</f>
        <v>Субсидии автономным учреждениям на иные цели</v>
      </c>
      <c r="B1204" s="115">
        <v>809</v>
      </c>
      <c r="C1204" s="8" t="s">
        <v>232</v>
      </c>
      <c r="D1204" s="8" t="s">
        <v>221</v>
      </c>
      <c r="E1204" s="115" t="s">
        <v>582</v>
      </c>
      <c r="F1204" s="115">
        <v>622</v>
      </c>
      <c r="G1204" s="70"/>
      <c r="H1204" s="70"/>
      <c r="I1204" s="70">
        <f t="shared" si="248"/>
        <v>0</v>
      </c>
      <c r="J1204" s="70"/>
      <c r="K1204" s="87">
        <f t="shared" si="255"/>
        <v>0</v>
      </c>
      <c r="L1204" s="13"/>
      <c r="M1204" s="87">
        <f t="shared" si="253"/>
        <v>0</v>
      </c>
      <c r="N1204" s="13"/>
      <c r="O1204" s="87">
        <f t="shared" si="254"/>
        <v>0</v>
      </c>
      <c r="P1204" s="13"/>
      <c r="Q1204" s="87">
        <f t="shared" si="250"/>
        <v>0</v>
      </c>
      <c r="R1204" s="13"/>
      <c r="S1204" s="87">
        <f t="shared" si="249"/>
        <v>0</v>
      </c>
    </row>
    <row r="1205" spans="1:19" ht="12.75">
      <c r="A1205" s="12" t="s">
        <v>275</v>
      </c>
      <c r="B1205" s="115">
        <v>809</v>
      </c>
      <c r="C1205" s="8" t="s">
        <v>232</v>
      </c>
      <c r="D1205" s="8" t="s">
        <v>222</v>
      </c>
      <c r="E1205" s="115"/>
      <c r="F1205" s="115"/>
      <c r="G1205" s="70">
        <f aca="true" t="shared" si="257" ref="G1205:R1209">G1206</f>
        <v>500</v>
      </c>
      <c r="H1205" s="70">
        <f t="shared" si="257"/>
        <v>0</v>
      </c>
      <c r="I1205" s="70">
        <f t="shared" si="248"/>
        <v>500</v>
      </c>
      <c r="J1205" s="70">
        <f>J1206+J1211</f>
        <v>1714.9</v>
      </c>
      <c r="K1205" s="87">
        <f t="shared" si="255"/>
        <v>2214.9</v>
      </c>
      <c r="L1205" s="13">
        <f>L1206+L1211</f>
        <v>0</v>
      </c>
      <c r="M1205" s="87">
        <f t="shared" si="253"/>
        <v>2214.9</v>
      </c>
      <c r="N1205" s="13">
        <f>N1206+N1211</f>
        <v>0</v>
      </c>
      <c r="O1205" s="87">
        <f t="shared" si="254"/>
        <v>2214.9</v>
      </c>
      <c r="P1205" s="13">
        <f>P1206+P1211</f>
        <v>0</v>
      </c>
      <c r="Q1205" s="87">
        <f t="shared" si="250"/>
        <v>2214.9</v>
      </c>
      <c r="R1205" s="13">
        <f>R1206+R1211</f>
        <v>0</v>
      </c>
      <c r="S1205" s="87">
        <f t="shared" si="249"/>
        <v>2214.9</v>
      </c>
    </row>
    <row r="1206" spans="1:19" ht="33">
      <c r="A1206" s="62" t="str">
        <f ca="1">IF(ISERROR(MATCH(E1206,Код_КЦСР,0)),"",INDIRECT(ADDRESS(MATCH(E1206,Код_КЦСР,0)+1,2,,,"КЦСР")))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06" s="115">
        <v>809</v>
      </c>
      <c r="C1206" s="8" t="s">
        <v>232</v>
      </c>
      <c r="D1206" s="8" t="s">
        <v>222</v>
      </c>
      <c r="E1206" s="115" t="s">
        <v>532</v>
      </c>
      <c r="F1206" s="115"/>
      <c r="G1206" s="70">
        <f t="shared" si="257"/>
        <v>500</v>
      </c>
      <c r="H1206" s="70">
        <f t="shared" si="257"/>
        <v>0</v>
      </c>
      <c r="I1206" s="70">
        <f t="shared" si="248"/>
        <v>500</v>
      </c>
      <c r="J1206" s="70">
        <f t="shared" si="257"/>
        <v>114.9</v>
      </c>
      <c r="K1206" s="87">
        <f t="shared" si="255"/>
        <v>614.9</v>
      </c>
      <c r="L1206" s="13">
        <f t="shared" si="257"/>
        <v>0</v>
      </c>
      <c r="M1206" s="87">
        <f t="shared" si="253"/>
        <v>614.9</v>
      </c>
      <c r="N1206" s="13">
        <f t="shared" si="257"/>
        <v>0</v>
      </c>
      <c r="O1206" s="87">
        <f t="shared" si="254"/>
        <v>614.9</v>
      </c>
      <c r="P1206" s="13">
        <f t="shared" si="257"/>
        <v>0</v>
      </c>
      <c r="Q1206" s="87">
        <f t="shared" si="250"/>
        <v>614.9</v>
      </c>
      <c r="R1206" s="13">
        <f t="shared" si="257"/>
        <v>0</v>
      </c>
      <c r="S1206" s="87">
        <f t="shared" si="249"/>
        <v>614.9</v>
      </c>
    </row>
    <row r="1207" spans="1:19" ht="12.75">
      <c r="A1207" s="62" t="str">
        <f ca="1">IF(ISERROR(MATCH(E1207,Код_КЦСР,0)),"",INDIRECT(ADDRESS(MATCH(E1207,Код_КЦСР,0)+1,2,,,"КЦСР")))</f>
        <v>Спортивный город</v>
      </c>
      <c r="B1207" s="115">
        <v>809</v>
      </c>
      <c r="C1207" s="8" t="s">
        <v>232</v>
      </c>
      <c r="D1207" s="8" t="s">
        <v>222</v>
      </c>
      <c r="E1207" s="115" t="s">
        <v>541</v>
      </c>
      <c r="F1207" s="115"/>
      <c r="G1207" s="70">
        <f t="shared" si="257"/>
        <v>500</v>
      </c>
      <c r="H1207" s="70">
        <f t="shared" si="257"/>
        <v>0</v>
      </c>
      <c r="I1207" s="70">
        <f t="shared" si="248"/>
        <v>500</v>
      </c>
      <c r="J1207" s="70">
        <f t="shared" si="257"/>
        <v>114.9</v>
      </c>
      <c r="K1207" s="87">
        <f t="shared" si="255"/>
        <v>614.9</v>
      </c>
      <c r="L1207" s="13">
        <f t="shared" si="257"/>
        <v>0</v>
      </c>
      <c r="M1207" s="87">
        <f t="shared" si="253"/>
        <v>614.9</v>
      </c>
      <c r="N1207" s="13">
        <f t="shared" si="257"/>
        <v>0</v>
      </c>
      <c r="O1207" s="87">
        <f t="shared" si="254"/>
        <v>614.9</v>
      </c>
      <c r="P1207" s="13">
        <f t="shared" si="257"/>
        <v>0</v>
      </c>
      <c r="Q1207" s="87">
        <f t="shared" si="250"/>
        <v>614.9</v>
      </c>
      <c r="R1207" s="13">
        <f t="shared" si="257"/>
        <v>0</v>
      </c>
      <c r="S1207" s="87">
        <f t="shared" si="249"/>
        <v>614.9</v>
      </c>
    </row>
    <row r="1208" spans="1:19" ht="33">
      <c r="A1208" s="62" t="str">
        <f ca="1">IF(ISERROR(MATCH(F1208,Код_КВР,0)),"",INDIRECT(ADDRESS(MATCH(F1208,Код_КВР,0)+1,2,,,"КВР")))</f>
        <v>Предоставление субсидий бюджетным, автономным учреждениям и иным некоммерческим организациям</v>
      </c>
      <c r="B1208" s="115">
        <v>809</v>
      </c>
      <c r="C1208" s="8" t="s">
        <v>232</v>
      </c>
      <c r="D1208" s="8" t="s">
        <v>222</v>
      </c>
      <c r="E1208" s="115" t="s">
        <v>541</v>
      </c>
      <c r="F1208" s="115">
        <v>600</v>
      </c>
      <c r="G1208" s="70">
        <f t="shared" si="257"/>
        <v>500</v>
      </c>
      <c r="H1208" s="70">
        <f t="shared" si="257"/>
        <v>0</v>
      </c>
      <c r="I1208" s="70">
        <f t="shared" si="248"/>
        <v>500</v>
      </c>
      <c r="J1208" s="70">
        <f t="shared" si="257"/>
        <v>114.9</v>
      </c>
      <c r="K1208" s="87">
        <f t="shared" si="255"/>
        <v>614.9</v>
      </c>
      <c r="L1208" s="13">
        <f t="shared" si="257"/>
        <v>0</v>
      </c>
      <c r="M1208" s="87">
        <f t="shared" si="253"/>
        <v>614.9</v>
      </c>
      <c r="N1208" s="13">
        <f t="shared" si="257"/>
        <v>0</v>
      </c>
      <c r="O1208" s="87">
        <f t="shared" si="254"/>
        <v>614.9</v>
      </c>
      <c r="P1208" s="13">
        <f t="shared" si="257"/>
        <v>0</v>
      </c>
      <c r="Q1208" s="87">
        <f t="shared" si="250"/>
        <v>614.9</v>
      </c>
      <c r="R1208" s="13">
        <f t="shared" si="257"/>
        <v>0</v>
      </c>
      <c r="S1208" s="87">
        <f t="shared" si="249"/>
        <v>614.9</v>
      </c>
    </row>
    <row r="1209" spans="1:19" ht="12.75">
      <c r="A1209" s="62" t="str">
        <f ca="1">IF(ISERROR(MATCH(F1209,Код_КВР,0)),"",INDIRECT(ADDRESS(MATCH(F1209,Код_КВР,0)+1,2,,,"КВР")))</f>
        <v>Субсидии автономным учреждениям</v>
      </c>
      <c r="B1209" s="115">
        <v>809</v>
      </c>
      <c r="C1209" s="8" t="s">
        <v>232</v>
      </c>
      <c r="D1209" s="8" t="s">
        <v>222</v>
      </c>
      <c r="E1209" s="115" t="s">
        <v>541</v>
      </c>
      <c r="F1209" s="115">
        <v>620</v>
      </c>
      <c r="G1209" s="70">
        <f t="shared" si="257"/>
        <v>500</v>
      </c>
      <c r="H1209" s="70">
        <f t="shared" si="257"/>
        <v>0</v>
      </c>
      <c r="I1209" s="70">
        <f t="shared" si="248"/>
        <v>500</v>
      </c>
      <c r="J1209" s="70">
        <f t="shared" si="257"/>
        <v>114.9</v>
      </c>
      <c r="K1209" s="87">
        <f t="shared" si="255"/>
        <v>614.9</v>
      </c>
      <c r="L1209" s="13">
        <f t="shared" si="257"/>
        <v>0</v>
      </c>
      <c r="M1209" s="87">
        <f t="shared" si="253"/>
        <v>614.9</v>
      </c>
      <c r="N1209" s="13">
        <f t="shared" si="257"/>
        <v>0</v>
      </c>
      <c r="O1209" s="87">
        <f t="shared" si="254"/>
        <v>614.9</v>
      </c>
      <c r="P1209" s="13">
        <f t="shared" si="257"/>
        <v>0</v>
      </c>
      <c r="Q1209" s="87">
        <f t="shared" si="250"/>
        <v>614.9</v>
      </c>
      <c r="R1209" s="13">
        <f t="shared" si="257"/>
        <v>0</v>
      </c>
      <c r="S1209" s="87">
        <f t="shared" si="249"/>
        <v>614.9</v>
      </c>
    </row>
    <row r="1210" spans="1:19" ht="12.75">
      <c r="A1210" s="62" t="str">
        <f ca="1">IF(ISERROR(MATCH(F1210,Код_КВР,0)),"",INDIRECT(ADDRESS(MATCH(F1210,Код_КВР,0)+1,2,,,"КВР")))</f>
        <v>Субсидии автономным учреждениям на иные цели</v>
      </c>
      <c r="B1210" s="115">
        <v>809</v>
      </c>
      <c r="C1210" s="8" t="s">
        <v>232</v>
      </c>
      <c r="D1210" s="8" t="s">
        <v>222</v>
      </c>
      <c r="E1210" s="115" t="s">
        <v>541</v>
      </c>
      <c r="F1210" s="115">
        <v>622</v>
      </c>
      <c r="G1210" s="70">
        <v>500</v>
      </c>
      <c r="H1210" s="70"/>
      <c r="I1210" s="70">
        <f t="shared" si="248"/>
        <v>500</v>
      </c>
      <c r="J1210" s="70">
        <v>114.9</v>
      </c>
      <c r="K1210" s="87">
        <f t="shared" si="255"/>
        <v>614.9</v>
      </c>
      <c r="L1210" s="13"/>
      <c r="M1210" s="87">
        <f t="shared" si="253"/>
        <v>614.9</v>
      </c>
      <c r="N1210" s="13"/>
      <c r="O1210" s="87">
        <f t="shared" si="254"/>
        <v>614.9</v>
      </c>
      <c r="P1210" s="13"/>
      <c r="Q1210" s="87">
        <f t="shared" si="250"/>
        <v>614.9</v>
      </c>
      <c r="R1210" s="13"/>
      <c r="S1210" s="87">
        <f t="shared" si="249"/>
        <v>614.9</v>
      </c>
    </row>
    <row r="1211" spans="1:19" ht="33">
      <c r="A1211" s="62" t="str">
        <f ca="1">IF(ISERROR(MATCH(E1211,Код_КЦСР,0)),"",INDIRECT(ADDRESS(MATCH(E1211,Код_КЦСР,0)+1,2,,,"КЦСР")))</f>
        <v>Непрограммные направления деятельности органов местного самоуправления</v>
      </c>
      <c r="B1211" s="115">
        <v>809</v>
      </c>
      <c r="C1211" s="8" t="s">
        <v>232</v>
      </c>
      <c r="D1211" s="8" t="s">
        <v>222</v>
      </c>
      <c r="E1211" s="115" t="s">
        <v>307</v>
      </c>
      <c r="F1211" s="115"/>
      <c r="G1211" s="70"/>
      <c r="H1211" s="70"/>
      <c r="I1211" s="70"/>
      <c r="J1211" s="70">
        <f>J1212</f>
        <v>1600</v>
      </c>
      <c r="K1211" s="87">
        <f t="shared" si="255"/>
        <v>1600</v>
      </c>
      <c r="L1211" s="13">
        <f>L1212</f>
        <v>0</v>
      </c>
      <c r="M1211" s="87">
        <f t="shared" si="253"/>
        <v>1600</v>
      </c>
      <c r="N1211" s="13">
        <f>N1212</f>
        <v>0</v>
      </c>
      <c r="O1211" s="87">
        <f t="shared" si="254"/>
        <v>1600</v>
      </c>
      <c r="P1211" s="13">
        <f>P1212</f>
        <v>0</v>
      </c>
      <c r="Q1211" s="87">
        <f t="shared" si="250"/>
        <v>1600</v>
      </c>
      <c r="R1211" s="13">
        <f>R1212</f>
        <v>0</v>
      </c>
      <c r="S1211" s="87">
        <f t="shared" si="249"/>
        <v>1600</v>
      </c>
    </row>
    <row r="1212" spans="1:19" ht="12.75">
      <c r="A1212" s="62" t="str">
        <f ca="1">IF(ISERROR(MATCH(E1212,Код_КЦСР,0)),"",INDIRECT(ADDRESS(MATCH(E1212,Код_КЦСР,0)+1,2,,,"КЦСР")))</f>
        <v>Расходы, не включенные в муниципальные программы города Череповца</v>
      </c>
      <c r="B1212" s="115">
        <v>809</v>
      </c>
      <c r="C1212" s="8" t="s">
        <v>232</v>
      </c>
      <c r="D1212" s="8" t="s">
        <v>222</v>
      </c>
      <c r="E1212" s="115" t="s">
        <v>309</v>
      </c>
      <c r="F1212" s="115"/>
      <c r="G1212" s="70"/>
      <c r="H1212" s="70"/>
      <c r="I1212" s="70"/>
      <c r="J1212" s="70">
        <f>J1213</f>
        <v>1600</v>
      </c>
      <c r="K1212" s="87">
        <f t="shared" si="255"/>
        <v>1600</v>
      </c>
      <c r="L1212" s="13">
        <f>L1213</f>
        <v>0</v>
      </c>
      <c r="M1212" s="87">
        <f t="shared" si="253"/>
        <v>1600</v>
      </c>
      <c r="N1212" s="13">
        <f>N1213</f>
        <v>0</v>
      </c>
      <c r="O1212" s="87">
        <f t="shared" si="254"/>
        <v>1600</v>
      </c>
      <c r="P1212" s="13">
        <f>P1213</f>
        <v>0</v>
      </c>
      <c r="Q1212" s="87">
        <f t="shared" si="250"/>
        <v>1600</v>
      </c>
      <c r="R1212" s="13">
        <f>R1213</f>
        <v>0</v>
      </c>
      <c r="S1212" s="87">
        <f t="shared" si="249"/>
        <v>1600</v>
      </c>
    </row>
    <row r="1213" spans="1:19" ht="12.75">
      <c r="A1213" s="62" t="str">
        <f ca="1">IF(ISERROR(MATCH(E1213,Код_КЦСР,0)),"",INDIRECT(ADDRESS(MATCH(E1213,Код_КЦСР,0)+1,2,,,"КЦСР")))</f>
        <v>Кредиторская задолженность, сложившаяся по итогам 2013 года</v>
      </c>
      <c r="B1213" s="115">
        <v>809</v>
      </c>
      <c r="C1213" s="8" t="s">
        <v>232</v>
      </c>
      <c r="D1213" s="8" t="s">
        <v>222</v>
      </c>
      <c r="E1213" s="115" t="s">
        <v>379</v>
      </c>
      <c r="F1213" s="115"/>
      <c r="G1213" s="70"/>
      <c r="H1213" s="70"/>
      <c r="I1213" s="70"/>
      <c r="J1213" s="70">
        <f>J1214</f>
        <v>1600</v>
      </c>
      <c r="K1213" s="87">
        <f t="shared" si="255"/>
        <v>1600</v>
      </c>
      <c r="L1213" s="13">
        <f>L1214</f>
        <v>0</v>
      </c>
      <c r="M1213" s="87">
        <f t="shared" si="253"/>
        <v>1600</v>
      </c>
      <c r="N1213" s="13">
        <f>N1214</f>
        <v>0</v>
      </c>
      <c r="O1213" s="87">
        <f t="shared" si="254"/>
        <v>1600</v>
      </c>
      <c r="P1213" s="13">
        <f>P1214</f>
        <v>0</v>
      </c>
      <c r="Q1213" s="87">
        <f t="shared" si="250"/>
        <v>1600</v>
      </c>
      <c r="R1213" s="13">
        <f>R1214</f>
        <v>0</v>
      </c>
      <c r="S1213" s="87">
        <f t="shared" si="249"/>
        <v>1600</v>
      </c>
    </row>
    <row r="1214" spans="1:19" ht="12.75">
      <c r="A1214" s="62" t="str">
        <f ca="1">IF(ISERROR(MATCH(F1214,Код_КВР,0)),"",INDIRECT(ADDRESS(MATCH(F1214,Код_КВР,0)+1,2,,,"КВР")))</f>
        <v>Иные бюджетные ассигнования</v>
      </c>
      <c r="B1214" s="115">
        <v>809</v>
      </c>
      <c r="C1214" s="8" t="s">
        <v>232</v>
      </c>
      <c r="D1214" s="8" t="s">
        <v>222</v>
      </c>
      <c r="E1214" s="115" t="s">
        <v>379</v>
      </c>
      <c r="F1214" s="115">
        <v>800</v>
      </c>
      <c r="G1214" s="70"/>
      <c r="H1214" s="70"/>
      <c r="I1214" s="70"/>
      <c r="J1214" s="70">
        <f>J1215</f>
        <v>1600</v>
      </c>
      <c r="K1214" s="87">
        <f t="shared" si="255"/>
        <v>1600</v>
      </c>
      <c r="L1214" s="13">
        <f>L1215</f>
        <v>0</v>
      </c>
      <c r="M1214" s="87">
        <f t="shared" si="253"/>
        <v>1600</v>
      </c>
      <c r="N1214" s="13">
        <f>N1215</f>
        <v>0</v>
      </c>
      <c r="O1214" s="87">
        <f t="shared" si="254"/>
        <v>1600</v>
      </c>
      <c r="P1214" s="13">
        <f>P1215</f>
        <v>0</v>
      </c>
      <c r="Q1214" s="87">
        <f t="shared" si="250"/>
        <v>1600</v>
      </c>
      <c r="R1214" s="13">
        <f>R1215</f>
        <v>0</v>
      </c>
      <c r="S1214" s="87">
        <f t="shared" si="249"/>
        <v>1600</v>
      </c>
    </row>
    <row r="1215" spans="1:19" ht="33">
      <c r="A1215" s="62" t="str">
        <f ca="1">IF(ISERROR(MATCH(F1215,Код_КВР,0)),"",INDIRECT(ADDRESS(MATCH(F1215,Код_КВР,0)+1,2,,,"КВР")))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215" s="115">
        <v>809</v>
      </c>
      <c r="C1215" s="8" t="s">
        <v>232</v>
      </c>
      <c r="D1215" s="8" t="s">
        <v>222</v>
      </c>
      <c r="E1215" s="115" t="s">
        <v>379</v>
      </c>
      <c r="F1215" s="115">
        <v>810</v>
      </c>
      <c r="G1215" s="70"/>
      <c r="H1215" s="70"/>
      <c r="I1215" s="70"/>
      <c r="J1215" s="70">
        <v>1600</v>
      </c>
      <c r="K1215" s="87">
        <f t="shared" si="255"/>
        <v>1600</v>
      </c>
      <c r="L1215" s="13"/>
      <c r="M1215" s="87">
        <f t="shared" si="253"/>
        <v>1600</v>
      </c>
      <c r="N1215" s="13"/>
      <c r="O1215" s="87">
        <f t="shared" si="254"/>
        <v>1600</v>
      </c>
      <c r="P1215" s="13"/>
      <c r="Q1215" s="87">
        <f t="shared" si="250"/>
        <v>1600</v>
      </c>
      <c r="R1215" s="13"/>
      <c r="S1215" s="87">
        <f t="shared" si="249"/>
        <v>1600</v>
      </c>
    </row>
    <row r="1216" spans="1:19" ht="12.75">
      <c r="A1216" s="12" t="s">
        <v>200</v>
      </c>
      <c r="B1216" s="115">
        <v>809</v>
      </c>
      <c r="C1216" s="8" t="s">
        <v>232</v>
      </c>
      <c r="D1216" s="8" t="s">
        <v>229</v>
      </c>
      <c r="E1216" s="115"/>
      <c r="F1216" s="115"/>
      <c r="G1216" s="70">
        <f>G1217+G1222</f>
        <v>9683.2</v>
      </c>
      <c r="H1216" s="70">
        <f>H1217+H1222</f>
        <v>0</v>
      </c>
      <c r="I1216" s="70">
        <f aca="true" t="shared" si="258" ref="I1216:I1285">G1216+H1216</f>
        <v>9683.2</v>
      </c>
      <c r="J1216" s="70">
        <f>J1217+J1222</f>
        <v>0</v>
      </c>
      <c r="K1216" s="87">
        <f t="shared" si="255"/>
        <v>9683.2</v>
      </c>
      <c r="L1216" s="13">
        <f>L1217+L1222</f>
        <v>0</v>
      </c>
      <c r="M1216" s="87">
        <f t="shared" si="253"/>
        <v>9683.2</v>
      </c>
      <c r="N1216" s="13">
        <f>N1217+N1222</f>
        <v>0</v>
      </c>
      <c r="O1216" s="87">
        <f t="shared" si="254"/>
        <v>9683.2</v>
      </c>
      <c r="P1216" s="13">
        <f>P1217+P1222</f>
        <v>0</v>
      </c>
      <c r="Q1216" s="87">
        <f t="shared" si="250"/>
        <v>9683.2</v>
      </c>
      <c r="R1216" s="13">
        <f>R1217+R1222</f>
        <v>0</v>
      </c>
      <c r="S1216" s="87">
        <f t="shared" si="249"/>
        <v>9683.2</v>
      </c>
    </row>
    <row r="1217" spans="1:19" ht="33">
      <c r="A1217" s="62" t="str">
        <f ca="1">IF(ISERROR(MATCH(E1217,Код_КЦСР,0)),"",INDIRECT(ADDRESS(MATCH(E1217,Код_КЦСР,0)+1,2,,,"КЦСР")))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217" s="115">
        <v>809</v>
      </c>
      <c r="C1217" s="8" t="s">
        <v>232</v>
      </c>
      <c r="D1217" s="8" t="s">
        <v>229</v>
      </c>
      <c r="E1217" s="115" t="s">
        <v>532</v>
      </c>
      <c r="F1217" s="115"/>
      <c r="G1217" s="70">
        <f aca="true" t="shared" si="259" ref="G1217:R1220">G1218</f>
        <v>3827.4</v>
      </c>
      <c r="H1217" s="70">
        <f t="shared" si="259"/>
        <v>0</v>
      </c>
      <c r="I1217" s="70">
        <f t="shared" si="258"/>
        <v>3827.4</v>
      </c>
      <c r="J1217" s="70">
        <f t="shared" si="259"/>
        <v>0</v>
      </c>
      <c r="K1217" s="87">
        <f t="shared" si="255"/>
        <v>3827.4</v>
      </c>
      <c r="L1217" s="13">
        <f t="shared" si="259"/>
        <v>0</v>
      </c>
      <c r="M1217" s="87">
        <f t="shared" si="253"/>
        <v>3827.4</v>
      </c>
      <c r="N1217" s="13">
        <f t="shared" si="259"/>
        <v>0</v>
      </c>
      <c r="O1217" s="87">
        <f t="shared" si="254"/>
        <v>3827.4</v>
      </c>
      <c r="P1217" s="13">
        <f t="shared" si="259"/>
        <v>0</v>
      </c>
      <c r="Q1217" s="87">
        <f t="shared" si="250"/>
        <v>3827.4</v>
      </c>
      <c r="R1217" s="13">
        <f t="shared" si="259"/>
        <v>0</v>
      </c>
      <c r="S1217" s="87">
        <f t="shared" si="249"/>
        <v>3827.4</v>
      </c>
    </row>
    <row r="1218" spans="1:19" ht="12.75">
      <c r="A1218" s="62" t="str">
        <f ca="1">IF(ISERROR(MATCH(E1218,Код_КЦСР,0)),"",INDIRECT(ADDRESS(MATCH(E1218,Код_КЦСР,0)+1,2,,,"КЦСР")))</f>
        <v>Организация и ведение бухгалтерского (бюджетного) учета и отчетности</v>
      </c>
      <c r="B1218" s="115">
        <v>809</v>
      </c>
      <c r="C1218" s="8" t="s">
        <v>232</v>
      </c>
      <c r="D1218" s="8" t="s">
        <v>229</v>
      </c>
      <c r="E1218" s="115" t="s">
        <v>538</v>
      </c>
      <c r="F1218" s="115"/>
      <c r="G1218" s="70">
        <f t="shared" si="259"/>
        <v>3827.4</v>
      </c>
      <c r="H1218" s="70">
        <f t="shared" si="259"/>
        <v>0</v>
      </c>
      <c r="I1218" s="70">
        <f t="shared" si="258"/>
        <v>3827.4</v>
      </c>
      <c r="J1218" s="70">
        <f t="shared" si="259"/>
        <v>0</v>
      </c>
      <c r="K1218" s="87">
        <f t="shared" si="255"/>
        <v>3827.4</v>
      </c>
      <c r="L1218" s="13">
        <f t="shared" si="259"/>
        <v>0</v>
      </c>
      <c r="M1218" s="87">
        <f t="shared" si="253"/>
        <v>3827.4</v>
      </c>
      <c r="N1218" s="13">
        <f t="shared" si="259"/>
        <v>0</v>
      </c>
      <c r="O1218" s="87">
        <f t="shared" si="254"/>
        <v>3827.4</v>
      </c>
      <c r="P1218" s="13">
        <f t="shared" si="259"/>
        <v>0</v>
      </c>
      <c r="Q1218" s="87">
        <f t="shared" si="250"/>
        <v>3827.4</v>
      </c>
      <c r="R1218" s="13">
        <f t="shared" si="259"/>
        <v>0</v>
      </c>
      <c r="S1218" s="87">
        <f t="shared" si="249"/>
        <v>3827.4</v>
      </c>
    </row>
    <row r="1219" spans="1:19" ht="33">
      <c r="A1219" s="62" t="str">
        <f ca="1">IF(ISERROR(MATCH(F1219,Код_КВР,0)),"",INDIRECT(ADDRESS(MATCH(F1219,Код_КВР,0)+1,2,,,"КВР")))</f>
        <v>Предоставление субсидий бюджетным, автономным учреждениям и иным некоммерческим организациям</v>
      </c>
      <c r="B1219" s="115">
        <v>809</v>
      </c>
      <c r="C1219" s="8" t="s">
        <v>232</v>
      </c>
      <c r="D1219" s="8" t="s">
        <v>229</v>
      </c>
      <c r="E1219" s="115" t="s">
        <v>538</v>
      </c>
      <c r="F1219" s="115">
        <v>600</v>
      </c>
      <c r="G1219" s="70">
        <f t="shared" si="259"/>
        <v>3827.4</v>
      </c>
      <c r="H1219" s="70">
        <f t="shared" si="259"/>
        <v>0</v>
      </c>
      <c r="I1219" s="70">
        <f t="shared" si="258"/>
        <v>3827.4</v>
      </c>
      <c r="J1219" s="70">
        <f t="shared" si="259"/>
        <v>0</v>
      </c>
      <c r="K1219" s="87">
        <f t="shared" si="255"/>
        <v>3827.4</v>
      </c>
      <c r="L1219" s="13">
        <f t="shared" si="259"/>
        <v>0</v>
      </c>
      <c r="M1219" s="87">
        <f t="shared" si="253"/>
        <v>3827.4</v>
      </c>
      <c r="N1219" s="13">
        <f t="shared" si="259"/>
        <v>0</v>
      </c>
      <c r="O1219" s="87">
        <f t="shared" si="254"/>
        <v>3827.4</v>
      </c>
      <c r="P1219" s="13">
        <f t="shared" si="259"/>
        <v>0</v>
      </c>
      <c r="Q1219" s="87">
        <f t="shared" si="250"/>
        <v>3827.4</v>
      </c>
      <c r="R1219" s="13">
        <f t="shared" si="259"/>
        <v>0</v>
      </c>
      <c r="S1219" s="87">
        <f t="shared" si="249"/>
        <v>3827.4</v>
      </c>
    </row>
    <row r="1220" spans="1:19" ht="12.75">
      <c r="A1220" s="62" t="str">
        <f ca="1">IF(ISERROR(MATCH(F1220,Код_КВР,0)),"",INDIRECT(ADDRESS(MATCH(F1220,Код_КВР,0)+1,2,,,"КВР")))</f>
        <v>Субсидии бюджетным учреждениям</v>
      </c>
      <c r="B1220" s="115">
        <v>809</v>
      </c>
      <c r="C1220" s="8" t="s">
        <v>232</v>
      </c>
      <c r="D1220" s="8" t="s">
        <v>229</v>
      </c>
      <c r="E1220" s="115" t="s">
        <v>538</v>
      </c>
      <c r="F1220" s="115">
        <v>610</v>
      </c>
      <c r="G1220" s="70">
        <f t="shared" si="259"/>
        <v>3827.4</v>
      </c>
      <c r="H1220" s="70">
        <f t="shared" si="259"/>
        <v>0</v>
      </c>
      <c r="I1220" s="70">
        <f t="shared" si="258"/>
        <v>3827.4</v>
      </c>
      <c r="J1220" s="70">
        <f t="shared" si="259"/>
        <v>0</v>
      </c>
      <c r="K1220" s="87">
        <f t="shared" si="255"/>
        <v>3827.4</v>
      </c>
      <c r="L1220" s="13">
        <f t="shared" si="259"/>
        <v>0</v>
      </c>
      <c r="M1220" s="87">
        <f t="shared" si="253"/>
        <v>3827.4</v>
      </c>
      <c r="N1220" s="13">
        <f t="shared" si="259"/>
        <v>0</v>
      </c>
      <c r="O1220" s="87">
        <f t="shared" si="254"/>
        <v>3827.4</v>
      </c>
      <c r="P1220" s="13">
        <f t="shared" si="259"/>
        <v>0</v>
      </c>
      <c r="Q1220" s="87">
        <f t="shared" si="250"/>
        <v>3827.4</v>
      </c>
      <c r="R1220" s="13">
        <f t="shared" si="259"/>
        <v>0</v>
      </c>
      <c r="S1220" s="87">
        <f t="shared" si="249"/>
        <v>3827.4</v>
      </c>
    </row>
    <row r="1221" spans="1:19" ht="49.5">
      <c r="A1221" s="62" t="str">
        <f ca="1">IF(ISERROR(MATCH(F1221,Код_КВР,0)),"",INDIRECT(ADDRESS(MATCH(F1221,Код_КВР,0)+1,2,,,"КВР")))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21" s="115">
        <v>809</v>
      </c>
      <c r="C1221" s="8" t="s">
        <v>232</v>
      </c>
      <c r="D1221" s="8" t="s">
        <v>229</v>
      </c>
      <c r="E1221" s="115" t="s">
        <v>538</v>
      </c>
      <c r="F1221" s="115">
        <v>611</v>
      </c>
      <c r="G1221" s="70">
        <v>3827.4</v>
      </c>
      <c r="H1221" s="70"/>
      <c r="I1221" s="70">
        <f t="shared" si="258"/>
        <v>3827.4</v>
      </c>
      <c r="J1221" s="70"/>
      <c r="K1221" s="87">
        <f t="shared" si="255"/>
        <v>3827.4</v>
      </c>
      <c r="L1221" s="13"/>
      <c r="M1221" s="87">
        <f t="shared" si="253"/>
        <v>3827.4</v>
      </c>
      <c r="N1221" s="13"/>
      <c r="O1221" s="87">
        <f t="shared" si="254"/>
        <v>3827.4</v>
      </c>
      <c r="P1221" s="13"/>
      <c r="Q1221" s="87">
        <f t="shared" si="250"/>
        <v>3827.4</v>
      </c>
      <c r="R1221" s="13"/>
      <c r="S1221" s="87">
        <f t="shared" si="249"/>
        <v>3827.4</v>
      </c>
    </row>
    <row r="1222" spans="1:19" ht="33">
      <c r="A1222" s="62" t="str">
        <f ca="1">IF(ISERROR(MATCH(E1222,Код_КЦСР,0)),"",INDIRECT(ADDRESS(MATCH(E1222,Код_КЦСР,0)+1,2,,,"КЦСР")))</f>
        <v>Непрограммные направления деятельности органов местного самоуправления</v>
      </c>
      <c r="B1222" s="115">
        <v>809</v>
      </c>
      <c r="C1222" s="8" t="s">
        <v>232</v>
      </c>
      <c r="D1222" s="8" t="s">
        <v>229</v>
      </c>
      <c r="E1222" s="115" t="s">
        <v>307</v>
      </c>
      <c r="F1222" s="115"/>
      <c r="G1222" s="70">
        <f aca="true" t="shared" si="260" ref="G1222:R1224">G1223</f>
        <v>5855.8</v>
      </c>
      <c r="H1222" s="70">
        <f t="shared" si="260"/>
        <v>0</v>
      </c>
      <c r="I1222" s="70">
        <f t="shared" si="258"/>
        <v>5855.8</v>
      </c>
      <c r="J1222" s="70">
        <f t="shared" si="260"/>
        <v>0</v>
      </c>
      <c r="K1222" s="87">
        <f t="shared" si="255"/>
        <v>5855.8</v>
      </c>
      <c r="L1222" s="13">
        <f t="shared" si="260"/>
        <v>0</v>
      </c>
      <c r="M1222" s="87">
        <f t="shared" si="253"/>
        <v>5855.8</v>
      </c>
      <c r="N1222" s="13">
        <f t="shared" si="260"/>
        <v>0</v>
      </c>
      <c r="O1222" s="87">
        <f t="shared" si="254"/>
        <v>5855.8</v>
      </c>
      <c r="P1222" s="13">
        <f t="shared" si="260"/>
        <v>0</v>
      </c>
      <c r="Q1222" s="87">
        <f t="shared" si="250"/>
        <v>5855.8</v>
      </c>
      <c r="R1222" s="13">
        <f t="shared" si="260"/>
        <v>0</v>
      </c>
      <c r="S1222" s="87">
        <f t="shared" si="249"/>
        <v>5855.8</v>
      </c>
    </row>
    <row r="1223" spans="1:19" ht="12.75">
      <c r="A1223" s="62" t="str">
        <f ca="1">IF(ISERROR(MATCH(E1223,Код_КЦСР,0)),"",INDIRECT(ADDRESS(MATCH(E1223,Код_КЦСР,0)+1,2,,,"КЦСР")))</f>
        <v>Расходы, не включенные в муниципальные программы города Череповца</v>
      </c>
      <c r="B1223" s="115">
        <v>809</v>
      </c>
      <c r="C1223" s="8" t="s">
        <v>232</v>
      </c>
      <c r="D1223" s="8" t="s">
        <v>229</v>
      </c>
      <c r="E1223" s="115" t="s">
        <v>309</v>
      </c>
      <c r="F1223" s="115"/>
      <c r="G1223" s="70">
        <f t="shared" si="260"/>
        <v>5855.8</v>
      </c>
      <c r="H1223" s="70">
        <f t="shared" si="260"/>
        <v>0</v>
      </c>
      <c r="I1223" s="70">
        <f t="shared" si="258"/>
        <v>5855.8</v>
      </c>
      <c r="J1223" s="70">
        <f t="shared" si="260"/>
        <v>0</v>
      </c>
      <c r="K1223" s="87">
        <f t="shared" si="255"/>
        <v>5855.8</v>
      </c>
      <c r="L1223" s="13">
        <f t="shared" si="260"/>
        <v>0</v>
      </c>
      <c r="M1223" s="87">
        <f t="shared" si="253"/>
        <v>5855.8</v>
      </c>
      <c r="N1223" s="13">
        <f t="shared" si="260"/>
        <v>0</v>
      </c>
      <c r="O1223" s="87">
        <f t="shared" si="254"/>
        <v>5855.8</v>
      </c>
      <c r="P1223" s="13">
        <f t="shared" si="260"/>
        <v>0</v>
      </c>
      <c r="Q1223" s="87">
        <f t="shared" si="250"/>
        <v>5855.8</v>
      </c>
      <c r="R1223" s="13">
        <f t="shared" si="260"/>
        <v>0</v>
      </c>
      <c r="S1223" s="87">
        <f t="shared" si="249"/>
        <v>5855.8</v>
      </c>
    </row>
    <row r="1224" spans="1:19" ht="33">
      <c r="A1224" s="62" t="str">
        <f ca="1">IF(ISERROR(MATCH(E1224,Код_КЦСР,0)),"",INDIRECT(ADDRESS(MATCH(E1224,Код_КЦСР,0)+1,2,,,"КЦСР")))</f>
        <v>Руководство и управление в сфере установленных функций органов местного самоуправления</v>
      </c>
      <c r="B1224" s="115">
        <v>809</v>
      </c>
      <c r="C1224" s="8" t="s">
        <v>232</v>
      </c>
      <c r="D1224" s="8" t="s">
        <v>229</v>
      </c>
      <c r="E1224" s="115" t="s">
        <v>311</v>
      </c>
      <c r="F1224" s="115"/>
      <c r="G1224" s="70">
        <f t="shared" si="260"/>
        <v>5855.8</v>
      </c>
      <c r="H1224" s="70">
        <f t="shared" si="260"/>
        <v>0</v>
      </c>
      <c r="I1224" s="70">
        <f t="shared" si="258"/>
        <v>5855.8</v>
      </c>
      <c r="J1224" s="70">
        <f t="shared" si="260"/>
        <v>0</v>
      </c>
      <c r="K1224" s="87">
        <f t="shared" si="255"/>
        <v>5855.8</v>
      </c>
      <c r="L1224" s="13">
        <f t="shared" si="260"/>
        <v>0</v>
      </c>
      <c r="M1224" s="87">
        <f t="shared" si="253"/>
        <v>5855.8</v>
      </c>
      <c r="N1224" s="13">
        <f t="shared" si="260"/>
        <v>0</v>
      </c>
      <c r="O1224" s="87">
        <f t="shared" si="254"/>
        <v>5855.8</v>
      </c>
      <c r="P1224" s="13">
        <f t="shared" si="260"/>
        <v>0</v>
      </c>
      <c r="Q1224" s="87">
        <f t="shared" si="250"/>
        <v>5855.8</v>
      </c>
      <c r="R1224" s="13">
        <f t="shared" si="260"/>
        <v>0</v>
      </c>
      <c r="S1224" s="87">
        <f aca="true" t="shared" si="261" ref="S1224:S1291">Q1224+R1224</f>
        <v>5855.8</v>
      </c>
    </row>
    <row r="1225" spans="1:19" ht="12.75">
      <c r="A1225" s="62" t="str">
        <f ca="1">IF(ISERROR(MATCH(E1225,Код_КЦСР,0)),"",INDIRECT(ADDRESS(MATCH(E1225,Код_КЦСР,0)+1,2,,,"КЦСР")))</f>
        <v>Центральный аппарат</v>
      </c>
      <c r="B1225" s="115">
        <v>809</v>
      </c>
      <c r="C1225" s="8" t="s">
        <v>232</v>
      </c>
      <c r="D1225" s="8" t="s">
        <v>229</v>
      </c>
      <c r="E1225" s="115" t="s">
        <v>314</v>
      </c>
      <c r="F1225" s="115"/>
      <c r="G1225" s="70">
        <f>G1226+G1228</f>
        <v>5855.8</v>
      </c>
      <c r="H1225" s="70">
        <f>H1226+H1228</f>
        <v>0</v>
      </c>
      <c r="I1225" s="70">
        <f t="shared" si="258"/>
        <v>5855.8</v>
      </c>
      <c r="J1225" s="70">
        <f>J1226+J1228</f>
        <v>0</v>
      </c>
      <c r="K1225" s="87">
        <f t="shared" si="255"/>
        <v>5855.8</v>
      </c>
      <c r="L1225" s="13">
        <f>L1226+L1228</f>
        <v>0</v>
      </c>
      <c r="M1225" s="87">
        <f t="shared" si="253"/>
        <v>5855.8</v>
      </c>
      <c r="N1225" s="13">
        <f>N1226+N1228</f>
        <v>0</v>
      </c>
      <c r="O1225" s="87">
        <f t="shared" si="254"/>
        <v>5855.8</v>
      </c>
      <c r="P1225" s="13">
        <f>P1226+P1228</f>
        <v>0</v>
      </c>
      <c r="Q1225" s="87">
        <f t="shared" si="250"/>
        <v>5855.8</v>
      </c>
      <c r="R1225" s="13">
        <f>R1226+R1228</f>
        <v>0</v>
      </c>
      <c r="S1225" s="87">
        <f t="shared" si="261"/>
        <v>5855.8</v>
      </c>
    </row>
    <row r="1226" spans="1:19" ht="33">
      <c r="A1226" s="62" t="str">
        <f ca="1">IF(ISERROR(MATCH(F1226,Код_КВР,0)),"",INDIRECT(ADDRESS(MATCH(F1226,Код_КВР,0)+1,2,,,"КВР")))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6" s="115">
        <v>809</v>
      </c>
      <c r="C1226" s="8" t="s">
        <v>232</v>
      </c>
      <c r="D1226" s="8" t="s">
        <v>229</v>
      </c>
      <c r="E1226" s="115" t="s">
        <v>314</v>
      </c>
      <c r="F1226" s="115">
        <v>100</v>
      </c>
      <c r="G1226" s="70">
        <f>G1227</f>
        <v>5841</v>
      </c>
      <c r="H1226" s="70">
        <f>H1227</f>
        <v>0</v>
      </c>
      <c r="I1226" s="70">
        <f t="shared" si="258"/>
        <v>5841</v>
      </c>
      <c r="J1226" s="70">
        <f>J1227</f>
        <v>0</v>
      </c>
      <c r="K1226" s="87">
        <f t="shared" si="255"/>
        <v>5841</v>
      </c>
      <c r="L1226" s="13">
        <f>L1227</f>
        <v>0</v>
      </c>
      <c r="M1226" s="87">
        <f t="shared" si="253"/>
        <v>5841</v>
      </c>
      <c r="N1226" s="13">
        <f>N1227</f>
        <v>0</v>
      </c>
      <c r="O1226" s="87">
        <f t="shared" si="254"/>
        <v>5841</v>
      </c>
      <c r="P1226" s="13">
        <f>P1227</f>
        <v>0</v>
      </c>
      <c r="Q1226" s="87">
        <f t="shared" si="250"/>
        <v>5841</v>
      </c>
      <c r="R1226" s="13">
        <f>R1227</f>
        <v>0</v>
      </c>
      <c r="S1226" s="87">
        <f t="shared" si="261"/>
        <v>5841</v>
      </c>
    </row>
    <row r="1227" spans="1:19" ht="12.75">
      <c r="A1227" s="62" t="str">
        <f ca="1">IF(ISERROR(MATCH(F1227,Код_КВР,0)),"",INDIRECT(ADDRESS(MATCH(F1227,Код_КВР,0)+1,2,,,"КВР")))</f>
        <v>Расходы на выплаты персоналу муниципальных органов</v>
      </c>
      <c r="B1227" s="115">
        <v>809</v>
      </c>
      <c r="C1227" s="8" t="s">
        <v>232</v>
      </c>
      <c r="D1227" s="8" t="s">
        <v>229</v>
      </c>
      <c r="E1227" s="115" t="s">
        <v>314</v>
      </c>
      <c r="F1227" s="115">
        <v>120</v>
      </c>
      <c r="G1227" s="70">
        <v>5841</v>
      </c>
      <c r="H1227" s="70"/>
      <c r="I1227" s="70">
        <f t="shared" si="258"/>
        <v>5841</v>
      </c>
      <c r="J1227" s="70"/>
      <c r="K1227" s="87">
        <f t="shared" si="255"/>
        <v>5841</v>
      </c>
      <c r="L1227" s="13"/>
      <c r="M1227" s="87">
        <f t="shared" si="253"/>
        <v>5841</v>
      </c>
      <c r="N1227" s="13"/>
      <c r="O1227" s="87">
        <f t="shared" si="254"/>
        <v>5841</v>
      </c>
      <c r="P1227" s="13"/>
      <c r="Q1227" s="87">
        <f t="shared" si="250"/>
        <v>5841</v>
      </c>
      <c r="R1227" s="13"/>
      <c r="S1227" s="87">
        <f t="shared" si="261"/>
        <v>5841</v>
      </c>
    </row>
    <row r="1228" spans="1:19" ht="12.75">
      <c r="A1228" s="62" t="str">
        <f ca="1">IF(ISERROR(MATCH(F1228,Код_КВР,0)),"",INDIRECT(ADDRESS(MATCH(F1228,Код_КВР,0)+1,2,,,"КВР")))</f>
        <v>Закупка товаров, работ и услуг для муниципальных нужд</v>
      </c>
      <c r="B1228" s="115">
        <v>809</v>
      </c>
      <c r="C1228" s="8" t="s">
        <v>232</v>
      </c>
      <c r="D1228" s="8" t="s">
        <v>229</v>
      </c>
      <c r="E1228" s="115" t="s">
        <v>314</v>
      </c>
      <c r="F1228" s="115">
        <v>200</v>
      </c>
      <c r="G1228" s="70">
        <f>G1229</f>
        <v>14.8</v>
      </c>
      <c r="H1228" s="70">
        <f>H1229</f>
        <v>0</v>
      </c>
      <c r="I1228" s="70">
        <f t="shared" si="258"/>
        <v>14.8</v>
      </c>
      <c r="J1228" s="70">
        <f>J1229</f>
        <v>0</v>
      </c>
      <c r="K1228" s="87">
        <f t="shared" si="255"/>
        <v>14.8</v>
      </c>
      <c r="L1228" s="13">
        <f>L1229</f>
        <v>0</v>
      </c>
      <c r="M1228" s="87">
        <f t="shared" si="253"/>
        <v>14.8</v>
      </c>
      <c r="N1228" s="13">
        <f>N1229</f>
        <v>0</v>
      </c>
      <c r="O1228" s="87">
        <f t="shared" si="254"/>
        <v>14.8</v>
      </c>
      <c r="P1228" s="13">
        <f>P1229</f>
        <v>0</v>
      </c>
      <c r="Q1228" s="87">
        <f t="shared" si="250"/>
        <v>14.8</v>
      </c>
      <c r="R1228" s="13">
        <f>R1229</f>
        <v>0</v>
      </c>
      <c r="S1228" s="87">
        <f t="shared" si="261"/>
        <v>14.8</v>
      </c>
    </row>
    <row r="1229" spans="1:19" ht="33">
      <c r="A1229" s="62" t="str">
        <f ca="1">IF(ISERROR(MATCH(F1229,Код_КВР,0)),"",INDIRECT(ADDRESS(MATCH(F1229,Код_КВР,0)+1,2,,,"КВР")))</f>
        <v>Иные закупки товаров, работ и услуг для обеспечения муниципальных нужд</v>
      </c>
      <c r="B1229" s="115">
        <v>809</v>
      </c>
      <c r="C1229" s="8" t="s">
        <v>232</v>
      </c>
      <c r="D1229" s="8" t="s">
        <v>229</v>
      </c>
      <c r="E1229" s="115" t="s">
        <v>314</v>
      </c>
      <c r="F1229" s="115">
        <v>240</v>
      </c>
      <c r="G1229" s="70">
        <f>G1230</f>
        <v>14.8</v>
      </c>
      <c r="H1229" s="70">
        <f>H1230</f>
        <v>0</v>
      </c>
      <c r="I1229" s="70">
        <f t="shared" si="258"/>
        <v>14.8</v>
      </c>
      <c r="J1229" s="70">
        <f>J1230</f>
        <v>0</v>
      </c>
      <c r="K1229" s="87">
        <f t="shared" si="255"/>
        <v>14.8</v>
      </c>
      <c r="L1229" s="13">
        <f>L1230</f>
        <v>0</v>
      </c>
      <c r="M1229" s="87">
        <f t="shared" si="253"/>
        <v>14.8</v>
      </c>
      <c r="N1229" s="13">
        <f>N1230</f>
        <v>0</v>
      </c>
      <c r="O1229" s="87">
        <f t="shared" si="254"/>
        <v>14.8</v>
      </c>
      <c r="P1229" s="13">
        <f>P1230</f>
        <v>0</v>
      </c>
      <c r="Q1229" s="87">
        <f t="shared" si="250"/>
        <v>14.8</v>
      </c>
      <c r="R1229" s="13">
        <f>R1230</f>
        <v>0</v>
      </c>
      <c r="S1229" s="87">
        <f t="shared" si="261"/>
        <v>14.8</v>
      </c>
    </row>
    <row r="1230" spans="1:19" ht="33">
      <c r="A1230" s="62" t="str">
        <f ca="1">IF(ISERROR(MATCH(F1230,Код_КВР,0)),"",INDIRECT(ADDRESS(MATCH(F1230,Код_КВР,0)+1,2,,,"КВР")))</f>
        <v xml:space="preserve">Прочая закупка товаров, работ и услуг для обеспечения муниципальных нужд         </v>
      </c>
      <c r="B1230" s="115">
        <v>809</v>
      </c>
      <c r="C1230" s="8" t="s">
        <v>232</v>
      </c>
      <c r="D1230" s="8" t="s">
        <v>229</v>
      </c>
      <c r="E1230" s="115" t="s">
        <v>314</v>
      </c>
      <c r="F1230" s="115">
        <v>244</v>
      </c>
      <c r="G1230" s="70">
        <v>14.8</v>
      </c>
      <c r="H1230" s="70"/>
      <c r="I1230" s="70">
        <f t="shared" si="258"/>
        <v>14.8</v>
      </c>
      <c r="J1230" s="70"/>
      <c r="K1230" s="87">
        <f t="shared" si="255"/>
        <v>14.8</v>
      </c>
      <c r="L1230" s="13"/>
      <c r="M1230" s="87">
        <f t="shared" si="253"/>
        <v>14.8</v>
      </c>
      <c r="N1230" s="13"/>
      <c r="O1230" s="87">
        <f t="shared" si="254"/>
        <v>14.8</v>
      </c>
      <c r="P1230" s="13"/>
      <c r="Q1230" s="87">
        <f aca="true" t="shared" si="262" ref="Q1230:Q1297">O1230+P1230</f>
        <v>14.8</v>
      </c>
      <c r="R1230" s="13"/>
      <c r="S1230" s="87">
        <f>Q1230+R1230</f>
        <v>14.8</v>
      </c>
    </row>
    <row r="1231" spans="1:19" ht="12.75">
      <c r="A1231" s="62" t="str">
        <f ca="1">IF(ISERROR(MATCH(B1231,Код_ППП,0)),"",INDIRECT(ADDRESS(MATCH(B1231,Код_ППП,0)+1,2,,,"ППП")))</f>
        <v>КОМИТЕТ СОЦИАЛЬНОЙ ЗАЩИТЫ НАСЕЛЕНИЯ ГОРОДА</v>
      </c>
      <c r="B1231" s="115">
        <v>810</v>
      </c>
      <c r="C1231" s="8"/>
      <c r="D1231" s="8"/>
      <c r="E1231" s="115"/>
      <c r="F1231" s="115"/>
      <c r="G1231" s="70">
        <f>G1232+G1253</f>
        <v>897141.3</v>
      </c>
      <c r="H1231" s="70">
        <f>H1232+H1253</f>
        <v>0</v>
      </c>
      <c r="I1231" s="70">
        <f t="shared" si="258"/>
        <v>897141.3</v>
      </c>
      <c r="J1231" s="70">
        <f>J1232+J1253</f>
        <v>-4015.3</v>
      </c>
      <c r="K1231" s="87">
        <f t="shared" si="255"/>
        <v>893126</v>
      </c>
      <c r="L1231" s="13">
        <f>L1232+L1253</f>
        <v>-3790.2</v>
      </c>
      <c r="M1231" s="87">
        <f t="shared" si="253"/>
        <v>889335.8</v>
      </c>
      <c r="N1231" s="13">
        <f>N1232+N1253</f>
        <v>432</v>
      </c>
      <c r="O1231" s="87">
        <f t="shared" si="254"/>
        <v>889767.8</v>
      </c>
      <c r="P1231" s="13">
        <f>P1232+P1253</f>
        <v>0</v>
      </c>
      <c r="Q1231" s="87">
        <f t="shared" si="262"/>
        <v>889767.8</v>
      </c>
      <c r="R1231" s="13">
        <f>R1232+R1253</f>
        <v>51116.299999999996</v>
      </c>
      <c r="S1231" s="87">
        <f t="shared" si="261"/>
        <v>940884.1000000001</v>
      </c>
    </row>
    <row r="1232" spans="1:19" ht="12.75">
      <c r="A1232" s="62" t="str">
        <f ca="1">IF(ISERROR(MATCH(C1232,Код_Раздел,0)),"",INDIRECT(ADDRESS(MATCH(C1232,Код_Раздел,0)+1,2,,,"Раздел")))</f>
        <v>Образование</v>
      </c>
      <c r="B1232" s="115">
        <v>810</v>
      </c>
      <c r="C1232" s="8" t="s">
        <v>203</v>
      </c>
      <c r="D1232" s="8"/>
      <c r="E1232" s="115"/>
      <c r="F1232" s="115"/>
      <c r="G1232" s="70">
        <f>G1233</f>
        <v>66536.1</v>
      </c>
      <c r="H1232" s="70">
        <f>H1233</f>
        <v>0</v>
      </c>
      <c r="I1232" s="70">
        <f t="shared" si="258"/>
        <v>66536.1</v>
      </c>
      <c r="J1232" s="70">
        <f>J1233</f>
        <v>-3297.1</v>
      </c>
      <c r="K1232" s="87">
        <f t="shared" si="255"/>
        <v>63239.00000000001</v>
      </c>
      <c r="L1232" s="13">
        <f>L1233</f>
        <v>-2965.2</v>
      </c>
      <c r="M1232" s="87">
        <f t="shared" si="253"/>
        <v>60273.80000000001</v>
      </c>
      <c r="N1232" s="13">
        <f>N1233</f>
        <v>0</v>
      </c>
      <c r="O1232" s="87">
        <f t="shared" si="254"/>
        <v>60273.80000000001</v>
      </c>
      <c r="P1232" s="13">
        <f>P1233</f>
        <v>0</v>
      </c>
      <c r="Q1232" s="87">
        <f t="shared" si="262"/>
        <v>60273.80000000001</v>
      </c>
      <c r="R1232" s="13">
        <f>R1233</f>
        <v>0</v>
      </c>
      <c r="S1232" s="87">
        <f t="shared" si="261"/>
        <v>60273.80000000001</v>
      </c>
    </row>
    <row r="1233" spans="1:19" ht="12.75">
      <c r="A1233" s="12" t="s">
        <v>207</v>
      </c>
      <c r="B1233" s="115">
        <v>810</v>
      </c>
      <c r="C1233" s="8" t="s">
        <v>203</v>
      </c>
      <c r="D1233" s="8" t="s">
        <v>203</v>
      </c>
      <c r="E1233" s="115"/>
      <c r="F1233" s="115"/>
      <c r="G1233" s="70">
        <f>G1234</f>
        <v>66536.1</v>
      </c>
      <c r="H1233" s="70">
        <f>H1234</f>
        <v>0</v>
      </c>
      <c r="I1233" s="70">
        <f t="shared" si="258"/>
        <v>66536.1</v>
      </c>
      <c r="J1233" s="70">
        <f>J1234</f>
        <v>-3297.1</v>
      </c>
      <c r="K1233" s="87">
        <f t="shared" si="255"/>
        <v>63239.00000000001</v>
      </c>
      <c r="L1233" s="13">
        <f>L1234</f>
        <v>-2965.2</v>
      </c>
      <c r="M1233" s="87">
        <f t="shared" si="253"/>
        <v>60273.80000000001</v>
      </c>
      <c r="N1233" s="13">
        <f>N1234</f>
        <v>0</v>
      </c>
      <c r="O1233" s="87">
        <f t="shared" si="254"/>
        <v>60273.80000000001</v>
      </c>
      <c r="P1233" s="13">
        <f>P1234</f>
        <v>0</v>
      </c>
      <c r="Q1233" s="87">
        <f t="shared" si="262"/>
        <v>60273.80000000001</v>
      </c>
      <c r="R1233" s="13">
        <f>R1234</f>
        <v>0</v>
      </c>
      <c r="S1233" s="87">
        <f t="shared" si="261"/>
        <v>60273.80000000001</v>
      </c>
    </row>
    <row r="1234" spans="1:19" ht="33">
      <c r="A1234" s="62" t="str">
        <f ca="1">IF(ISERROR(MATCH(E1234,Код_КЦСР,0)),"",INDIRECT(ADDRESS(MATCH(E1234,Код_КЦСР,0)+1,2,,,"КЦСР")))</f>
        <v>Муниципальная программа «Социальная поддержка граждан» на 2014-2018 годы</v>
      </c>
      <c r="B1234" s="115">
        <v>810</v>
      </c>
      <c r="C1234" s="8" t="s">
        <v>203</v>
      </c>
      <c r="D1234" s="8" t="s">
        <v>203</v>
      </c>
      <c r="E1234" s="115" t="s">
        <v>6</v>
      </c>
      <c r="F1234" s="115"/>
      <c r="G1234" s="70">
        <f>G1235+G1239+G1245+G1249</f>
        <v>66536.1</v>
      </c>
      <c r="H1234" s="70">
        <f>H1235+H1239+H1245+H1249</f>
        <v>0</v>
      </c>
      <c r="I1234" s="70">
        <f t="shared" si="258"/>
        <v>66536.1</v>
      </c>
      <c r="J1234" s="70">
        <f>J1235+J1239+J1245+J1249</f>
        <v>-3297.1</v>
      </c>
      <c r="K1234" s="87">
        <f t="shared" si="255"/>
        <v>63239.00000000001</v>
      </c>
      <c r="L1234" s="13">
        <f>L1235+L1239+L1245+L1249</f>
        <v>-2965.2</v>
      </c>
      <c r="M1234" s="87">
        <f t="shared" si="253"/>
        <v>60273.80000000001</v>
      </c>
      <c r="N1234" s="13">
        <f>N1235+N1239+N1245+N1249</f>
        <v>0</v>
      </c>
      <c r="O1234" s="87">
        <f t="shared" si="254"/>
        <v>60273.80000000001</v>
      </c>
      <c r="P1234" s="13">
        <f>P1235+P1239+P1245+P1249</f>
        <v>0</v>
      </c>
      <c r="Q1234" s="87">
        <f t="shared" si="262"/>
        <v>60273.80000000001</v>
      </c>
      <c r="R1234" s="13">
        <f>R1235+R1239+R1245+R1249</f>
        <v>0</v>
      </c>
      <c r="S1234" s="87">
        <f t="shared" si="261"/>
        <v>60273.80000000001</v>
      </c>
    </row>
    <row r="1235" spans="1:19" ht="49.5">
      <c r="A1235" s="62" t="str">
        <f ca="1">IF(ISERROR(MATCH(E1235,Код_КЦСР,0)),"",INDIRECT(ADDRESS(MATCH(E1235,Код_КЦСР,0)+1,2,,,"КЦСР")))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235" s="115">
        <v>810</v>
      </c>
      <c r="C1235" s="8" t="s">
        <v>203</v>
      </c>
      <c r="D1235" s="8" t="s">
        <v>203</v>
      </c>
      <c r="E1235" s="115" t="s">
        <v>7</v>
      </c>
      <c r="F1235" s="115"/>
      <c r="G1235" s="70">
        <f aca="true" t="shared" si="263" ref="G1235:R1237">G1236</f>
        <v>962.5</v>
      </c>
      <c r="H1235" s="70">
        <f t="shared" si="263"/>
        <v>0</v>
      </c>
      <c r="I1235" s="70">
        <f t="shared" si="258"/>
        <v>962.5</v>
      </c>
      <c r="J1235" s="70">
        <f t="shared" si="263"/>
        <v>0</v>
      </c>
      <c r="K1235" s="87">
        <f t="shared" si="255"/>
        <v>962.5</v>
      </c>
      <c r="L1235" s="13">
        <f t="shared" si="263"/>
        <v>0</v>
      </c>
      <c r="M1235" s="87">
        <f t="shared" si="253"/>
        <v>962.5</v>
      </c>
      <c r="N1235" s="13">
        <f t="shared" si="263"/>
        <v>0</v>
      </c>
      <c r="O1235" s="87">
        <f t="shared" si="254"/>
        <v>962.5</v>
      </c>
      <c r="P1235" s="13">
        <f t="shared" si="263"/>
        <v>0</v>
      </c>
      <c r="Q1235" s="87">
        <f t="shared" si="262"/>
        <v>962.5</v>
      </c>
      <c r="R1235" s="13">
        <f t="shared" si="263"/>
        <v>0</v>
      </c>
      <c r="S1235" s="87">
        <f t="shared" si="261"/>
        <v>962.5</v>
      </c>
    </row>
    <row r="1236" spans="1:19" ht="12.75">
      <c r="A1236" s="62" t="str">
        <f ca="1">IF(ISERROR(MATCH(F1236,Код_КВР,0)),"",INDIRECT(ADDRESS(MATCH(F1236,Код_КВР,0)+1,2,,,"КВР")))</f>
        <v>Социальное обеспечение и иные выплаты населению</v>
      </c>
      <c r="B1236" s="115">
        <v>810</v>
      </c>
      <c r="C1236" s="8" t="s">
        <v>203</v>
      </c>
      <c r="D1236" s="8" t="s">
        <v>203</v>
      </c>
      <c r="E1236" s="115" t="s">
        <v>7</v>
      </c>
      <c r="F1236" s="115">
        <v>300</v>
      </c>
      <c r="G1236" s="70">
        <f t="shared" si="263"/>
        <v>962.5</v>
      </c>
      <c r="H1236" s="70">
        <f t="shared" si="263"/>
        <v>0</v>
      </c>
      <c r="I1236" s="70">
        <f t="shared" si="258"/>
        <v>962.5</v>
      </c>
      <c r="J1236" s="70">
        <f t="shared" si="263"/>
        <v>0</v>
      </c>
      <c r="K1236" s="87">
        <f t="shared" si="255"/>
        <v>962.5</v>
      </c>
      <c r="L1236" s="13">
        <f t="shared" si="263"/>
        <v>0</v>
      </c>
      <c r="M1236" s="87">
        <f t="shared" si="253"/>
        <v>962.5</v>
      </c>
      <c r="N1236" s="13">
        <f t="shared" si="263"/>
        <v>0</v>
      </c>
      <c r="O1236" s="87">
        <f t="shared" si="254"/>
        <v>962.5</v>
      </c>
      <c r="P1236" s="13">
        <f t="shared" si="263"/>
        <v>0</v>
      </c>
      <c r="Q1236" s="87">
        <f t="shared" si="262"/>
        <v>962.5</v>
      </c>
      <c r="R1236" s="13">
        <f t="shared" si="263"/>
        <v>0</v>
      </c>
      <c r="S1236" s="87">
        <f t="shared" si="261"/>
        <v>962.5</v>
      </c>
    </row>
    <row r="1237" spans="1:19" ht="33">
      <c r="A1237" s="62" t="str">
        <f ca="1">IF(ISERROR(MATCH(F1237,Код_КВР,0)),"",INDIRECT(ADDRESS(MATCH(F1237,Код_КВР,0)+1,2,,,"КВР")))</f>
        <v>Социальные выплаты гражданам, кроме публичных нормативных социальных выплат</v>
      </c>
      <c r="B1237" s="115">
        <v>810</v>
      </c>
      <c r="C1237" s="8" t="s">
        <v>203</v>
      </c>
      <c r="D1237" s="8" t="s">
        <v>203</v>
      </c>
      <c r="E1237" s="115" t="s">
        <v>7</v>
      </c>
      <c r="F1237" s="115">
        <v>320</v>
      </c>
      <c r="G1237" s="70">
        <f t="shared" si="263"/>
        <v>962.5</v>
      </c>
      <c r="H1237" s="70">
        <f t="shared" si="263"/>
        <v>0</v>
      </c>
      <c r="I1237" s="70">
        <f t="shared" si="258"/>
        <v>962.5</v>
      </c>
      <c r="J1237" s="70">
        <f t="shared" si="263"/>
        <v>0</v>
      </c>
      <c r="K1237" s="87">
        <f t="shared" si="255"/>
        <v>962.5</v>
      </c>
      <c r="L1237" s="13">
        <f t="shared" si="263"/>
        <v>0</v>
      </c>
      <c r="M1237" s="87">
        <f t="shared" si="253"/>
        <v>962.5</v>
      </c>
      <c r="N1237" s="13">
        <f t="shared" si="263"/>
        <v>0</v>
      </c>
      <c r="O1237" s="87">
        <f t="shared" si="254"/>
        <v>962.5</v>
      </c>
      <c r="P1237" s="13">
        <f t="shared" si="263"/>
        <v>0</v>
      </c>
      <c r="Q1237" s="87">
        <f t="shared" si="262"/>
        <v>962.5</v>
      </c>
      <c r="R1237" s="13">
        <f t="shared" si="263"/>
        <v>0</v>
      </c>
      <c r="S1237" s="87">
        <f t="shared" si="261"/>
        <v>962.5</v>
      </c>
    </row>
    <row r="1238" spans="1:19" ht="33">
      <c r="A1238" s="62" t="str">
        <f ca="1">IF(ISERROR(MATCH(F1238,Код_КВР,0)),"",INDIRECT(ADDRESS(MATCH(F1238,Код_КВР,0)+1,2,,,"КВР")))</f>
        <v>Приобретение товаров, работ, услуг в пользу граждан в целях их социального обеспечения</v>
      </c>
      <c r="B1238" s="115">
        <v>810</v>
      </c>
      <c r="C1238" s="8" t="s">
        <v>203</v>
      </c>
      <c r="D1238" s="8" t="s">
        <v>203</v>
      </c>
      <c r="E1238" s="115" t="s">
        <v>7</v>
      </c>
      <c r="F1238" s="115">
        <v>323</v>
      </c>
      <c r="G1238" s="70">
        <v>962.5</v>
      </c>
      <c r="H1238" s="70"/>
      <c r="I1238" s="70">
        <f t="shared" si="258"/>
        <v>962.5</v>
      </c>
      <c r="J1238" s="70"/>
      <c r="K1238" s="87">
        <f t="shared" si="255"/>
        <v>962.5</v>
      </c>
      <c r="L1238" s="13"/>
      <c r="M1238" s="87">
        <f t="shared" si="253"/>
        <v>962.5</v>
      </c>
      <c r="N1238" s="13"/>
      <c r="O1238" s="87">
        <f t="shared" si="254"/>
        <v>962.5</v>
      </c>
      <c r="P1238" s="13"/>
      <c r="Q1238" s="87">
        <f t="shared" si="262"/>
        <v>962.5</v>
      </c>
      <c r="R1238" s="13"/>
      <c r="S1238" s="87">
        <f t="shared" si="261"/>
        <v>962.5</v>
      </c>
    </row>
    <row r="1239" spans="1:19" ht="61.5" customHeight="1">
      <c r="A1239" s="62" t="str">
        <f ca="1">IF(ISERROR(MATCH(E1239,Код_КЦСР,0)),"",INDIRECT(ADDRESS(MATCH(E1239,Код_КЦСР,0)+1,2,,,"КЦСР")))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239" s="115">
        <v>810</v>
      </c>
      <c r="C1239" s="8" t="s">
        <v>203</v>
      </c>
      <c r="D1239" s="8" t="s">
        <v>203</v>
      </c>
      <c r="E1239" s="115" t="s">
        <v>373</v>
      </c>
      <c r="F1239" s="115"/>
      <c r="G1239" s="70">
        <f aca="true" t="shared" si="264" ref="G1239:R1241">G1240</f>
        <v>26528.4</v>
      </c>
      <c r="H1239" s="70">
        <f t="shared" si="264"/>
        <v>0</v>
      </c>
      <c r="I1239" s="70">
        <f t="shared" si="258"/>
        <v>26528.4</v>
      </c>
      <c r="J1239" s="70">
        <f>J1240+J1243</f>
        <v>0</v>
      </c>
      <c r="K1239" s="87">
        <f t="shared" si="255"/>
        <v>26528.4</v>
      </c>
      <c r="L1239" s="13">
        <f>L1240+L1243</f>
        <v>-2965.2</v>
      </c>
      <c r="M1239" s="87">
        <f t="shared" si="253"/>
        <v>23563.2</v>
      </c>
      <c r="N1239" s="13">
        <f>N1240+N1243</f>
        <v>0</v>
      </c>
      <c r="O1239" s="87">
        <f t="shared" si="254"/>
        <v>23563.2</v>
      </c>
      <c r="P1239" s="13">
        <f>P1240+P1243</f>
        <v>0</v>
      </c>
      <c r="Q1239" s="87">
        <f t="shared" si="262"/>
        <v>23563.2</v>
      </c>
      <c r="R1239" s="13">
        <f>R1240+R1243</f>
        <v>0</v>
      </c>
      <c r="S1239" s="87">
        <f t="shared" si="261"/>
        <v>23563.2</v>
      </c>
    </row>
    <row r="1240" spans="1:19" ht="12.75" hidden="1">
      <c r="A1240" s="62" t="str">
        <f ca="1">IF(ISERROR(MATCH(F1240,Код_КВР,0)),"",INDIRECT(ADDRESS(MATCH(F1240,Код_КВР,0)+1,2,,,"КВР")))</f>
        <v>Социальное обеспечение и иные выплаты населению</v>
      </c>
      <c r="B1240" s="115">
        <v>810</v>
      </c>
      <c r="C1240" s="8" t="s">
        <v>203</v>
      </c>
      <c r="D1240" s="8" t="s">
        <v>203</v>
      </c>
      <c r="E1240" s="115" t="s">
        <v>373</v>
      </c>
      <c r="F1240" s="115">
        <v>300</v>
      </c>
      <c r="G1240" s="70">
        <f t="shared" si="264"/>
        <v>26528.4</v>
      </c>
      <c r="H1240" s="70">
        <f t="shared" si="264"/>
        <v>0</v>
      </c>
      <c r="I1240" s="70">
        <f t="shared" si="258"/>
        <v>26528.4</v>
      </c>
      <c r="J1240" s="70">
        <f t="shared" si="264"/>
        <v>-26528.4</v>
      </c>
      <c r="K1240" s="87">
        <f t="shared" si="255"/>
        <v>0</v>
      </c>
      <c r="L1240" s="13">
        <f t="shared" si="264"/>
        <v>0</v>
      </c>
      <c r="M1240" s="87">
        <f t="shared" si="253"/>
        <v>0</v>
      </c>
      <c r="N1240" s="13">
        <f t="shared" si="264"/>
        <v>0</v>
      </c>
      <c r="O1240" s="87">
        <f t="shared" si="254"/>
        <v>0</v>
      </c>
      <c r="P1240" s="13">
        <f t="shared" si="264"/>
        <v>0</v>
      </c>
      <c r="Q1240" s="87">
        <f t="shared" si="262"/>
        <v>0</v>
      </c>
      <c r="R1240" s="13">
        <f t="shared" si="264"/>
        <v>0</v>
      </c>
      <c r="S1240" s="87">
        <f t="shared" si="261"/>
        <v>0</v>
      </c>
    </row>
    <row r="1241" spans="1:19" ht="33" hidden="1">
      <c r="A1241" s="62" t="str">
        <f ca="1">IF(ISERROR(MATCH(F1241,Код_КВР,0)),"",INDIRECT(ADDRESS(MATCH(F1241,Код_КВР,0)+1,2,,,"КВР")))</f>
        <v>Социальные выплаты гражданам, кроме публичных нормативных социальных выплат</v>
      </c>
      <c r="B1241" s="115">
        <v>810</v>
      </c>
      <c r="C1241" s="8" t="s">
        <v>203</v>
      </c>
      <c r="D1241" s="8" t="s">
        <v>203</v>
      </c>
      <c r="E1241" s="115" t="s">
        <v>373</v>
      </c>
      <c r="F1241" s="115">
        <v>320</v>
      </c>
      <c r="G1241" s="70">
        <f t="shared" si="264"/>
        <v>26528.4</v>
      </c>
      <c r="H1241" s="70">
        <f t="shared" si="264"/>
        <v>0</v>
      </c>
      <c r="I1241" s="70">
        <f t="shared" si="258"/>
        <v>26528.4</v>
      </c>
      <c r="J1241" s="70">
        <f t="shared" si="264"/>
        <v>-26528.4</v>
      </c>
      <c r="K1241" s="87">
        <f t="shared" si="255"/>
        <v>0</v>
      </c>
      <c r="L1241" s="13">
        <f t="shared" si="264"/>
        <v>0</v>
      </c>
      <c r="M1241" s="87">
        <f t="shared" si="253"/>
        <v>0</v>
      </c>
      <c r="N1241" s="13">
        <f t="shared" si="264"/>
        <v>0</v>
      </c>
      <c r="O1241" s="87">
        <f t="shared" si="254"/>
        <v>0</v>
      </c>
      <c r="P1241" s="13">
        <f t="shared" si="264"/>
        <v>0</v>
      </c>
      <c r="Q1241" s="87">
        <f t="shared" si="262"/>
        <v>0</v>
      </c>
      <c r="R1241" s="13">
        <f t="shared" si="264"/>
        <v>0</v>
      </c>
      <c r="S1241" s="87">
        <f t="shared" si="261"/>
        <v>0</v>
      </c>
    </row>
    <row r="1242" spans="1:19" ht="33" hidden="1">
      <c r="A1242" s="62" t="str">
        <f ca="1">IF(ISERROR(MATCH(F1242,Код_КВР,0)),"",INDIRECT(ADDRESS(MATCH(F1242,Код_КВР,0)+1,2,,,"КВР")))</f>
        <v>Приобретение товаров, работ, услуг в пользу граждан в целях их социального обеспечения</v>
      </c>
      <c r="B1242" s="115">
        <v>810</v>
      </c>
      <c r="C1242" s="8" t="s">
        <v>203</v>
      </c>
      <c r="D1242" s="8" t="s">
        <v>203</v>
      </c>
      <c r="E1242" s="115" t="s">
        <v>373</v>
      </c>
      <c r="F1242" s="115">
        <v>323</v>
      </c>
      <c r="G1242" s="70">
        <v>26528.4</v>
      </c>
      <c r="H1242" s="70"/>
      <c r="I1242" s="70">
        <f t="shared" si="258"/>
        <v>26528.4</v>
      </c>
      <c r="J1242" s="70">
        <v>-26528.4</v>
      </c>
      <c r="K1242" s="87">
        <f t="shared" si="255"/>
        <v>0</v>
      </c>
      <c r="L1242" s="13"/>
      <c r="M1242" s="87">
        <f t="shared" si="253"/>
        <v>0</v>
      </c>
      <c r="N1242" s="13"/>
      <c r="O1242" s="87">
        <f t="shared" si="254"/>
        <v>0</v>
      </c>
      <c r="P1242" s="13"/>
      <c r="Q1242" s="87">
        <f t="shared" si="262"/>
        <v>0</v>
      </c>
      <c r="R1242" s="13"/>
      <c r="S1242" s="87">
        <f t="shared" si="261"/>
        <v>0</v>
      </c>
    </row>
    <row r="1243" spans="1:19" ht="12.75">
      <c r="A1243" s="62" t="str">
        <f ca="1">IF(ISERROR(MATCH(F1243,Код_КВР,0)),"",INDIRECT(ADDRESS(MATCH(F1243,Код_КВР,0)+1,2,,,"КВР")))</f>
        <v>Иные бюджетные ассигнования</v>
      </c>
      <c r="B1243" s="115">
        <v>810</v>
      </c>
      <c r="C1243" s="8" t="s">
        <v>203</v>
      </c>
      <c r="D1243" s="8" t="s">
        <v>203</v>
      </c>
      <c r="E1243" s="115" t="s">
        <v>373</v>
      </c>
      <c r="F1243" s="115">
        <v>800</v>
      </c>
      <c r="G1243" s="70"/>
      <c r="H1243" s="70"/>
      <c r="I1243" s="70"/>
      <c r="J1243" s="70">
        <f>J1244</f>
        <v>26528.4</v>
      </c>
      <c r="K1243" s="87">
        <f t="shared" si="255"/>
        <v>26528.4</v>
      </c>
      <c r="L1243" s="13">
        <f>L1244</f>
        <v>-2965.2</v>
      </c>
      <c r="M1243" s="87">
        <f t="shared" si="253"/>
        <v>23563.2</v>
      </c>
      <c r="N1243" s="13">
        <f>N1244</f>
        <v>0</v>
      </c>
      <c r="O1243" s="87">
        <f t="shared" si="254"/>
        <v>23563.2</v>
      </c>
      <c r="P1243" s="13">
        <f>P1244</f>
        <v>0</v>
      </c>
      <c r="Q1243" s="87">
        <f t="shared" si="262"/>
        <v>23563.2</v>
      </c>
      <c r="R1243" s="13">
        <f>R1244</f>
        <v>0</v>
      </c>
      <c r="S1243" s="87">
        <f t="shared" si="261"/>
        <v>23563.2</v>
      </c>
    </row>
    <row r="1244" spans="1:19" ht="33">
      <c r="A1244" s="62" t="str">
        <f ca="1">IF(ISERROR(MATCH(F1244,Код_КВР,0)),"",INDIRECT(ADDRESS(MATCH(F1244,Код_КВР,0)+1,2,,,"КВР")))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244" s="115">
        <v>810</v>
      </c>
      <c r="C1244" s="8" t="s">
        <v>203</v>
      </c>
      <c r="D1244" s="8" t="s">
        <v>203</v>
      </c>
      <c r="E1244" s="115" t="s">
        <v>373</v>
      </c>
      <c r="F1244" s="115">
        <v>810</v>
      </c>
      <c r="G1244" s="70"/>
      <c r="H1244" s="70"/>
      <c r="I1244" s="70"/>
      <c r="J1244" s="70">
        <v>26528.4</v>
      </c>
      <c r="K1244" s="87">
        <f t="shared" si="255"/>
        <v>26528.4</v>
      </c>
      <c r="L1244" s="13">
        <f>-2965.2</f>
        <v>-2965.2</v>
      </c>
      <c r="M1244" s="87">
        <f t="shared" si="253"/>
        <v>23563.2</v>
      </c>
      <c r="N1244" s="13"/>
      <c r="O1244" s="87">
        <f t="shared" si="254"/>
        <v>23563.2</v>
      </c>
      <c r="P1244" s="13"/>
      <c r="Q1244" s="87">
        <f t="shared" si="262"/>
        <v>23563.2</v>
      </c>
      <c r="R1244" s="13"/>
      <c r="S1244" s="87">
        <f t="shared" si="261"/>
        <v>23563.2</v>
      </c>
    </row>
    <row r="1245" spans="1:19" ht="33">
      <c r="A1245" s="62" t="str">
        <f ca="1">IF(ISERROR(MATCH(E1245,Код_КЦСР,0)),"",INDIRECT(ADDRESS(MATCH(E1245,Код_КЦСР,0)+1,2,,,"КЦСР")))</f>
        <v>Мероприятия по проведению оздоровительной кампании детей за счет субвенций из федерального бюджета</v>
      </c>
      <c r="B1245" s="115">
        <v>810</v>
      </c>
      <c r="C1245" s="8" t="s">
        <v>203</v>
      </c>
      <c r="D1245" s="8" t="s">
        <v>203</v>
      </c>
      <c r="E1245" s="115" t="s">
        <v>431</v>
      </c>
      <c r="F1245" s="115"/>
      <c r="G1245" s="70">
        <f aca="true" t="shared" si="265" ref="G1245:R1247">G1246</f>
        <v>4806</v>
      </c>
      <c r="H1245" s="70">
        <f t="shared" si="265"/>
        <v>0</v>
      </c>
      <c r="I1245" s="70">
        <f t="shared" si="258"/>
        <v>4806</v>
      </c>
      <c r="J1245" s="70">
        <f t="shared" si="265"/>
        <v>0</v>
      </c>
      <c r="K1245" s="87">
        <f t="shared" si="255"/>
        <v>4806</v>
      </c>
      <c r="L1245" s="13">
        <f t="shared" si="265"/>
        <v>0</v>
      </c>
      <c r="M1245" s="87">
        <f t="shared" si="253"/>
        <v>4806</v>
      </c>
      <c r="N1245" s="13">
        <f t="shared" si="265"/>
        <v>0</v>
      </c>
      <c r="O1245" s="87">
        <f t="shared" si="254"/>
        <v>4806</v>
      </c>
      <c r="P1245" s="13">
        <f t="shared" si="265"/>
        <v>0</v>
      </c>
      <c r="Q1245" s="87">
        <f t="shared" si="262"/>
        <v>4806</v>
      </c>
      <c r="R1245" s="13">
        <f t="shared" si="265"/>
        <v>0</v>
      </c>
      <c r="S1245" s="87">
        <f t="shared" si="261"/>
        <v>4806</v>
      </c>
    </row>
    <row r="1246" spans="1:19" ht="12.75">
      <c r="A1246" s="62" t="str">
        <f ca="1">IF(ISERROR(MATCH(F1246,Код_КВР,0)),"",INDIRECT(ADDRESS(MATCH(F1246,Код_КВР,0)+1,2,,,"КВР")))</f>
        <v>Социальное обеспечение и иные выплаты населению</v>
      </c>
      <c r="B1246" s="115">
        <v>810</v>
      </c>
      <c r="C1246" s="8" t="s">
        <v>203</v>
      </c>
      <c r="D1246" s="8" t="s">
        <v>203</v>
      </c>
      <c r="E1246" s="115" t="s">
        <v>431</v>
      </c>
      <c r="F1246" s="115">
        <v>300</v>
      </c>
      <c r="G1246" s="70">
        <f t="shared" si="265"/>
        <v>4806</v>
      </c>
      <c r="H1246" s="70">
        <f t="shared" si="265"/>
        <v>0</v>
      </c>
      <c r="I1246" s="70">
        <f t="shared" si="258"/>
        <v>4806</v>
      </c>
      <c r="J1246" s="70">
        <f t="shared" si="265"/>
        <v>0</v>
      </c>
      <c r="K1246" s="87">
        <f t="shared" si="255"/>
        <v>4806</v>
      </c>
      <c r="L1246" s="13">
        <f t="shared" si="265"/>
        <v>0</v>
      </c>
      <c r="M1246" s="87">
        <f t="shared" si="253"/>
        <v>4806</v>
      </c>
      <c r="N1246" s="13">
        <f t="shared" si="265"/>
        <v>0</v>
      </c>
      <c r="O1246" s="87">
        <f t="shared" si="254"/>
        <v>4806</v>
      </c>
      <c r="P1246" s="13">
        <f t="shared" si="265"/>
        <v>0</v>
      </c>
      <c r="Q1246" s="87">
        <f t="shared" si="262"/>
        <v>4806</v>
      </c>
      <c r="R1246" s="13">
        <f t="shared" si="265"/>
        <v>0</v>
      </c>
      <c r="S1246" s="87">
        <f t="shared" si="261"/>
        <v>4806</v>
      </c>
    </row>
    <row r="1247" spans="1:19" ht="33">
      <c r="A1247" s="62" t="str">
        <f ca="1">IF(ISERROR(MATCH(F1247,Код_КВР,0)),"",INDIRECT(ADDRESS(MATCH(F1247,Код_КВР,0)+1,2,,,"КВР")))</f>
        <v>Социальные выплаты гражданам, кроме публичных нормативных социальных выплат</v>
      </c>
      <c r="B1247" s="115">
        <v>810</v>
      </c>
      <c r="C1247" s="8" t="s">
        <v>203</v>
      </c>
      <c r="D1247" s="8" t="s">
        <v>203</v>
      </c>
      <c r="E1247" s="115" t="s">
        <v>431</v>
      </c>
      <c r="F1247" s="115">
        <v>320</v>
      </c>
      <c r="G1247" s="70">
        <f t="shared" si="265"/>
        <v>4806</v>
      </c>
      <c r="H1247" s="70">
        <f t="shared" si="265"/>
        <v>0</v>
      </c>
      <c r="I1247" s="70">
        <f t="shared" si="258"/>
        <v>4806</v>
      </c>
      <c r="J1247" s="70">
        <f t="shared" si="265"/>
        <v>0</v>
      </c>
      <c r="K1247" s="87">
        <f t="shared" si="255"/>
        <v>4806</v>
      </c>
      <c r="L1247" s="13">
        <f t="shared" si="265"/>
        <v>0</v>
      </c>
      <c r="M1247" s="87">
        <f t="shared" si="253"/>
        <v>4806</v>
      </c>
      <c r="N1247" s="13">
        <f t="shared" si="265"/>
        <v>0</v>
      </c>
      <c r="O1247" s="87">
        <f t="shared" si="254"/>
        <v>4806</v>
      </c>
      <c r="P1247" s="13">
        <f t="shared" si="265"/>
        <v>0</v>
      </c>
      <c r="Q1247" s="87">
        <f t="shared" si="262"/>
        <v>4806</v>
      </c>
      <c r="R1247" s="13">
        <f t="shared" si="265"/>
        <v>0</v>
      </c>
      <c r="S1247" s="87">
        <f t="shared" si="261"/>
        <v>4806</v>
      </c>
    </row>
    <row r="1248" spans="1:19" ht="33">
      <c r="A1248" s="62" t="str">
        <f ca="1">IF(ISERROR(MATCH(F1248,Код_КВР,0)),"",INDIRECT(ADDRESS(MATCH(F1248,Код_КВР,0)+1,2,,,"КВР")))</f>
        <v>Приобретение товаров, работ, услуг в пользу граждан в целях их социального обеспечения</v>
      </c>
      <c r="B1248" s="115">
        <v>810</v>
      </c>
      <c r="C1248" s="8" t="s">
        <v>203</v>
      </c>
      <c r="D1248" s="8" t="s">
        <v>203</v>
      </c>
      <c r="E1248" s="115" t="s">
        <v>431</v>
      </c>
      <c r="F1248" s="115">
        <v>323</v>
      </c>
      <c r="G1248" s="70">
        <v>4806</v>
      </c>
      <c r="H1248" s="70"/>
      <c r="I1248" s="70">
        <f t="shared" si="258"/>
        <v>4806</v>
      </c>
      <c r="J1248" s="70"/>
      <c r="K1248" s="87">
        <f t="shared" si="255"/>
        <v>4806</v>
      </c>
      <c r="L1248" s="13"/>
      <c r="M1248" s="87">
        <f t="shared" si="253"/>
        <v>4806</v>
      </c>
      <c r="N1248" s="13"/>
      <c r="O1248" s="87">
        <f t="shared" si="254"/>
        <v>4806</v>
      </c>
      <c r="P1248" s="13"/>
      <c r="Q1248" s="87">
        <f t="shared" si="262"/>
        <v>4806</v>
      </c>
      <c r="R1248" s="13"/>
      <c r="S1248" s="87">
        <f t="shared" si="261"/>
        <v>4806</v>
      </c>
    </row>
    <row r="1249" spans="1:19" ht="82.5">
      <c r="A1249" s="62" t="str">
        <f ca="1">IF(ISERROR(MATCH(E1249,Код_КЦСР,0)),"",INDIRECT(ADDRESS(MATCH(E1249,Код_КЦСР,0)+1,2,,,"КЦСР")))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49" s="115">
        <v>810</v>
      </c>
      <c r="C1249" s="8" t="s">
        <v>203</v>
      </c>
      <c r="D1249" s="8" t="s">
        <v>203</v>
      </c>
      <c r="E1249" s="115" t="s">
        <v>414</v>
      </c>
      <c r="F1249" s="115"/>
      <c r="G1249" s="70">
        <f aca="true" t="shared" si="266" ref="G1249:R1251">G1250</f>
        <v>34239.200000000004</v>
      </c>
      <c r="H1249" s="70">
        <f t="shared" si="266"/>
        <v>0</v>
      </c>
      <c r="I1249" s="70">
        <f t="shared" si="258"/>
        <v>34239.200000000004</v>
      </c>
      <c r="J1249" s="70">
        <f t="shared" si="266"/>
        <v>-3297.1</v>
      </c>
      <c r="K1249" s="87">
        <f t="shared" si="255"/>
        <v>30942.100000000006</v>
      </c>
      <c r="L1249" s="13">
        <f t="shared" si="266"/>
        <v>0</v>
      </c>
      <c r="M1249" s="87">
        <f t="shared" si="253"/>
        <v>30942.100000000006</v>
      </c>
      <c r="N1249" s="13">
        <f t="shared" si="266"/>
        <v>0</v>
      </c>
      <c r="O1249" s="87">
        <f t="shared" si="254"/>
        <v>30942.100000000006</v>
      </c>
      <c r="P1249" s="13">
        <f t="shared" si="266"/>
        <v>0</v>
      </c>
      <c r="Q1249" s="87">
        <f t="shared" si="262"/>
        <v>30942.100000000006</v>
      </c>
      <c r="R1249" s="13">
        <f t="shared" si="266"/>
        <v>0</v>
      </c>
      <c r="S1249" s="87">
        <f t="shared" si="261"/>
        <v>30942.100000000006</v>
      </c>
    </row>
    <row r="1250" spans="1:19" ht="12.75">
      <c r="A1250" s="62" t="str">
        <f ca="1">IF(ISERROR(MATCH(F1250,Код_КВР,0)),"",INDIRECT(ADDRESS(MATCH(F1250,Код_КВР,0)+1,2,,,"КВР")))</f>
        <v>Социальное обеспечение и иные выплаты населению</v>
      </c>
      <c r="B1250" s="115">
        <v>810</v>
      </c>
      <c r="C1250" s="8" t="s">
        <v>203</v>
      </c>
      <c r="D1250" s="8" t="s">
        <v>203</v>
      </c>
      <c r="E1250" s="115" t="s">
        <v>414</v>
      </c>
      <c r="F1250" s="115">
        <v>300</v>
      </c>
      <c r="G1250" s="70">
        <f t="shared" si="266"/>
        <v>34239.200000000004</v>
      </c>
      <c r="H1250" s="70">
        <f t="shared" si="266"/>
        <v>0</v>
      </c>
      <c r="I1250" s="70">
        <f t="shared" si="258"/>
        <v>34239.200000000004</v>
      </c>
      <c r="J1250" s="70">
        <f t="shared" si="266"/>
        <v>-3297.1</v>
      </c>
      <c r="K1250" s="87">
        <f t="shared" si="255"/>
        <v>30942.100000000006</v>
      </c>
      <c r="L1250" s="13">
        <f t="shared" si="266"/>
        <v>0</v>
      </c>
      <c r="M1250" s="87">
        <f t="shared" si="253"/>
        <v>30942.100000000006</v>
      </c>
      <c r="N1250" s="13">
        <f t="shared" si="266"/>
        <v>0</v>
      </c>
      <c r="O1250" s="87">
        <f t="shared" si="254"/>
        <v>30942.100000000006</v>
      </c>
      <c r="P1250" s="13">
        <f t="shared" si="266"/>
        <v>0</v>
      </c>
      <c r="Q1250" s="87">
        <f t="shared" si="262"/>
        <v>30942.100000000006</v>
      </c>
      <c r="R1250" s="13">
        <f t="shared" si="266"/>
        <v>0</v>
      </c>
      <c r="S1250" s="87">
        <f t="shared" si="261"/>
        <v>30942.100000000006</v>
      </c>
    </row>
    <row r="1251" spans="1:19" ht="33">
      <c r="A1251" s="62" t="str">
        <f ca="1">IF(ISERROR(MATCH(F1251,Код_КВР,0)),"",INDIRECT(ADDRESS(MATCH(F1251,Код_КВР,0)+1,2,,,"КВР")))</f>
        <v>Социальные выплаты гражданам, кроме публичных нормативных социальных выплат</v>
      </c>
      <c r="B1251" s="115">
        <v>810</v>
      </c>
      <c r="C1251" s="8" t="s">
        <v>203</v>
      </c>
      <c r="D1251" s="8" t="s">
        <v>203</v>
      </c>
      <c r="E1251" s="115" t="s">
        <v>414</v>
      </c>
      <c r="F1251" s="115">
        <v>320</v>
      </c>
      <c r="G1251" s="70">
        <f t="shared" si="266"/>
        <v>34239.200000000004</v>
      </c>
      <c r="H1251" s="70">
        <f t="shared" si="266"/>
        <v>0</v>
      </c>
      <c r="I1251" s="70">
        <f t="shared" si="258"/>
        <v>34239.200000000004</v>
      </c>
      <c r="J1251" s="70">
        <f t="shared" si="266"/>
        <v>-3297.1</v>
      </c>
      <c r="K1251" s="87">
        <f t="shared" si="255"/>
        <v>30942.100000000006</v>
      </c>
      <c r="L1251" s="13">
        <f t="shared" si="266"/>
        <v>0</v>
      </c>
      <c r="M1251" s="87">
        <f t="shared" si="253"/>
        <v>30942.100000000006</v>
      </c>
      <c r="N1251" s="13">
        <f t="shared" si="266"/>
        <v>0</v>
      </c>
      <c r="O1251" s="87">
        <f t="shared" si="254"/>
        <v>30942.100000000006</v>
      </c>
      <c r="P1251" s="13">
        <f t="shared" si="266"/>
        <v>0</v>
      </c>
      <c r="Q1251" s="87">
        <f t="shared" si="262"/>
        <v>30942.100000000006</v>
      </c>
      <c r="R1251" s="13">
        <f t="shared" si="266"/>
        <v>0</v>
      </c>
      <c r="S1251" s="87">
        <f t="shared" si="261"/>
        <v>30942.100000000006</v>
      </c>
    </row>
    <row r="1252" spans="1:19" ht="33">
      <c r="A1252" s="62" t="str">
        <f ca="1">IF(ISERROR(MATCH(F1252,Код_КВР,0)),"",INDIRECT(ADDRESS(MATCH(F1252,Код_КВР,0)+1,2,,,"КВР")))</f>
        <v>Приобретение товаров, работ, услуг в пользу граждан в целях их социального обеспечения</v>
      </c>
      <c r="B1252" s="115">
        <v>810</v>
      </c>
      <c r="C1252" s="8" t="s">
        <v>203</v>
      </c>
      <c r="D1252" s="8" t="s">
        <v>203</v>
      </c>
      <c r="E1252" s="115" t="s">
        <v>414</v>
      </c>
      <c r="F1252" s="115">
        <v>323</v>
      </c>
      <c r="G1252" s="70">
        <f>33765.8+473.4</f>
        <v>34239.200000000004</v>
      </c>
      <c r="H1252" s="70"/>
      <c r="I1252" s="70">
        <f t="shared" si="258"/>
        <v>34239.200000000004</v>
      </c>
      <c r="J1252" s="70">
        <v>-3297.1</v>
      </c>
      <c r="K1252" s="87">
        <f t="shared" si="255"/>
        <v>30942.100000000006</v>
      </c>
      <c r="L1252" s="13"/>
      <c r="M1252" s="87">
        <f t="shared" si="253"/>
        <v>30942.100000000006</v>
      </c>
      <c r="N1252" s="13"/>
      <c r="O1252" s="87">
        <f t="shared" si="254"/>
        <v>30942.100000000006</v>
      </c>
      <c r="P1252" s="13"/>
      <c r="Q1252" s="87">
        <f t="shared" si="262"/>
        <v>30942.100000000006</v>
      </c>
      <c r="R1252" s="13"/>
      <c r="S1252" s="87">
        <f t="shared" si="261"/>
        <v>30942.100000000006</v>
      </c>
    </row>
    <row r="1253" spans="1:19" ht="12.75">
      <c r="A1253" s="62" t="str">
        <f ca="1">IF(ISERROR(MATCH(C1253,Код_Раздел,0)),"",INDIRECT(ADDRESS(MATCH(C1253,Код_Раздел,0)+1,2,,,"Раздел")))</f>
        <v>Социальная политика</v>
      </c>
      <c r="B1253" s="115">
        <v>810</v>
      </c>
      <c r="C1253" s="8" t="s">
        <v>196</v>
      </c>
      <c r="D1253" s="8"/>
      <c r="E1253" s="115"/>
      <c r="F1253" s="115"/>
      <c r="G1253" s="70">
        <f>G1254+G1265+G1321</f>
        <v>830605.2000000001</v>
      </c>
      <c r="H1253" s="70">
        <f>H1254+H1265+H1321</f>
        <v>0</v>
      </c>
      <c r="I1253" s="70">
        <f t="shared" si="258"/>
        <v>830605.2000000001</v>
      </c>
      <c r="J1253" s="70">
        <f>J1254+J1265+J1321</f>
        <v>-718.2</v>
      </c>
      <c r="K1253" s="87">
        <f t="shared" si="255"/>
        <v>829887.0000000001</v>
      </c>
      <c r="L1253" s="13">
        <f>L1254+L1265+L1321</f>
        <v>-825</v>
      </c>
      <c r="M1253" s="87">
        <f t="shared" si="253"/>
        <v>829062.0000000001</v>
      </c>
      <c r="N1253" s="13">
        <f>N1254+N1265+N1321</f>
        <v>432</v>
      </c>
      <c r="O1253" s="87">
        <f t="shared" si="254"/>
        <v>829494.0000000001</v>
      </c>
      <c r="P1253" s="13">
        <f>P1254+P1265+P1321</f>
        <v>0</v>
      </c>
      <c r="Q1253" s="87">
        <f t="shared" si="262"/>
        <v>829494.0000000001</v>
      </c>
      <c r="R1253" s="13">
        <f>R1254+R1265+R1321</f>
        <v>51116.299999999996</v>
      </c>
      <c r="S1253" s="87">
        <f t="shared" si="261"/>
        <v>880610.3000000002</v>
      </c>
    </row>
    <row r="1254" spans="1:19" ht="12.75">
      <c r="A1254" s="12" t="s">
        <v>267</v>
      </c>
      <c r="B1254" s="115">
        <v>810</v>
      </c>
      <c r="C1254" s="8" t="s">
        <v>196</v>
      </c>
      <c r="D1254" s="8" t="s">
        <v>222</v>
      </c>
      <c r="E1254" s="115"/>
      <c r="F1254" s="115"/>
      <c r="G1254" s="70">
        <f aca="true" t="shared" si="267" ref="G1254:R1261">G1255</f>
        <v>114241.1</v>
      </c>
      <c r="H1254" s="70">
        <f t="shared" si="267"/>
        <v>0</v>
      </c>
      <c r="I1254" s="70">
        <f t="shared" si="258"/>
        <v>114241.1</v>
      </c>
      <c r="J1254" s="70">
        <f t="shared" si="267"/>
        <v>0</v>
      </c>
      <c r="K1254" s="87">
        <f t="shared" si="255"/>
        <v>114241.1</v>
      </c>
      <c r="L1254" s="13">
        <f t="shared" si="267"/>
        <v>0</v>
      </c>
      <c r="M1254" s="87">
        <f t="shared" si="253"/>
        <v>114241.1</v>
      </c>
      <c r="N1254" s="13">
        <f t="shared" si="267"/>
        <v>0</v>
      </c>
      <c r="O1254" s="87">
        <f t="shared" si="254"/>
        <v>114241.1</v>
      </c>
      <c r="P1254" s="13">
        <f t="shared" si="267"/>
        <v>365.3</v>
      </c>
      <c r="Q1254" s="87">
        <f t="shared" si="262"/>
        <v>114606.40000000001</v>
      </c>
      <c r="R1254" s="13">
        <f t="shared" si="267"/>
        <v>-13960.1</v>
      </c>
      <c r="S1254" s="87">
        <f t="shared" si="261"/>
        <v>100646.3</v>
      </c>
    </row>
    <row r="1255" spans="1:19" ht="33">
      <c r="A1255" s="62" t="str">
        <f ca="1">IF(ISERROR(MATCH(E1255,Код_КЦСР,0)),"",INDIRECT(ADDRESS(MATCH(E1255,Код_КЦСР,0)+1,2,,,"КЦСР")))</f>
        <v>Муниципальная программа «Социальная поддержка граждан» на 2014-2018 годы</v>
      </c>
      <c r="B1255" s="115">
        <v>810</v>
      </c>
      <c r="C1255" s="8" t="s">
        <v>196</v>
      </c>
      <c r="D1255" s="8" t="s">
        <v>222</v>
      </c>
      <c r="E1255" s="115" t="s">
        <v>6</v>
      </c>
      <c r="F1255" s="115"/>
      <c r="G1255" s="70">
        <f>G1260</f>
        <v>114241.1</v>
      </c>
      <c r="H1255" s="70">
        <f>H1260</f>
        <v>0</v>
      </c>
      <c r="I1255" s="70">
        <f t="shared" si="258"/>
        <v>114241.1</v>
      </c>
      <c r="J1255" s="70">
        <f>J1260</f>
        <v>0</v>
      </c>
      <c r="K1255" s="87">
        <f t="shared" si="255"/>
        <v>114241.1</v>
      </c>
      <c r="L1255" s="13">
        <f>L1260</f>
        <v>0</v>
      </c>
      <c r="M1255" s="87">
        <f t="shared" si="253"/>
        <v>114241.1</v>
      </c>
      <c r="N1255" s="13">
        <f>N1260</f>
        <v>0</v>
      </c>
      <c r="O1255" s="87">
        <f t="shared" si="254"/>
        <v>114241.1</v>
      </c>
      <c r="P1255" s="13">
        <f>P1260</f>
        <v>365.3</v>
      </c>
      <c r="Q1255" s="87">
        <f t="shared" si="262"/>
        <v>114606.40000000001</v>
      </c>
      <c r="R1255" s="13">
        <f>R1260+R1256</f>
        <v>-13960.1</v>
      </c>
      <c r="S1255" s="87">
        <f t="shared" si="261"/>
        <v>100646.3</v>
      </c>
    </row>
    <row r="1256" spans="1:19" s="94" customFormat="1" ht="54.75" customHeight="1">
      <c r="A1256" s="62" t="str">
        <f ca="1">IF(ISERROR(MATCH(E1256,Код_КЦСР,0)),"",INDIRECT(ADDRESS(MATCH(E1256,Код_КЦСР,0)+1,2,,,"КЦСР")))</f>
        <v>Мероприятия государственной программы Российской Федерации "Доступная среда" на 2011-2015 годы за счет средств федерального бюджета</v>
      </c>
      <c r="B1256" s="122">
        <v>810</v>
      </c>
      <c r="C1256" s="8" t="s">
        <v>196</v>
      </c>
      <c r="D1256" s="8" t="s">
        <v>222</v>
      </c>
      <c r="E1256" s="122" t="s">
        <v>656</v>
      </c>
      <c r="F1256" s="122"/>
      <c r="G1256" s="70"/>
      <c r="H1256" s="70"/>
      <c r="I1256" s="70"/>
      <c r="J1256" s="70"/>
      <c r="K1256" s="87"/>
      <c r="L1256" s="13"/>
      <c r="M1256" s="87"/>
      <c r="N1256" s="13"/>
      <c r="O1256" s="87"/>
      <c r="P1256" s="13"/>
      <c r="Q1256" s="87"/>
      <c r="R1256" s="13">
        <f>R1257</f>
        <v>290</v>
      </c>
      <c r="S1256" s="87">
        <f t="shared" si="261"/>
        <v>290</v>
      </c>
    </row>
    <row r="1257" spans="1:19" s="94" customFormat="1" ht="33">
      <c r="A1257" s="62" t="str">
        <f ca="1">IF(ISERROR(MATCH(F1257,Код_КВР,0)),"",INDIRECT(ADDRESS(MATCH(F1257,Код_КВР,0)+1,2,,,"КВР")))</f>
        <v>Предоставление субсидий бюджетным, автономным учреждениям и иным некоммерческим организациям</v>
      </c>
      <c r="B1257" s="122">
        <v>810</v>
      </c>
      <c r="C1257" s="8" t="s">
        <v>196</v>
      </c>
      <c r="D1257" s="8" t="s">
        <v>222</v>
      </c>
      <c r="E1257" s="122" t="s">
        <v>656</v>
      </c>
      <c r="F1257" s="122">
        <v>600</v>
      </c>
      <c r="G1257" s="70"/>
      <c r="H1257" s="70"/>
      <c r="I1257" s="70"/>
      <c r="J1257" s="70"/>
      <c r="K1257" s="87"/>
      <c r="L1257" s="13"/>
      <c r="M1257" s="87"/>
      <c r="N1257" s="13"/>
      <c r="O1257" s="87"/>
      <c r="P1257" s="13"/>
      <c r="Q1257" s="87"/>
      <c r="R1257" s="13">
        <f>R1258</f>
        <v>290</v>
      </c>
      <c r="S1257" s="87">
        <f t="shared" si="261"/>
        <v>290</v>
      </c>
    </row>
    <row r="1258" spans="1:19" s="94" customFormat="1" ht="27.2" customHeight="1">
      <c r="A1258" s="62" t="str">
        <f ca="1">IF(ISERROR(MATCH(F1258,Код_КВР,0)),"",INDIRECT(ADDRESS(MATCH(F1258,Код_КВР,0)+1,2,,,"КВР")))</f>
        <v>Субсидии бюджетным учреждениям</v>
      </c>
      <c r="B1258" s="122">
        <v>810</v>
      </c>
      <c r="C1258" s="8" t="s">
        <v>196</v>
      </c>
      <c r="D1258" s="8" t="s">
        <v>222</v>
      </c>
      <c r="E1258" s="122" t="s">
        <v>656</v>
      </c>
      <c r="F1258" s="122">
        <v>610</v>
      </c>
      <c r="G1258" s="70"/>
      <c r="H1258" s="70"/>
      <c r="I1258" s="70"/>
      <c r="J1258" s="70"/>
      <c r="K1258" s="87"/>
      <c r="L1258" s="13"/>
      <c r="M1258" s="87"/>
      <c r="N1258" s="13"/>
      <c r="O1258" s="87"/>
      <c r="P1258" s="13"/>
      <c r="Q1258" s="87"/>
      <c r="R1258" s="13">
        <f>R1259</f>
        <v>290</v>
      </c>
      <c r="S1258" s="87">
        <f t="shared" si="261"/>
        <v>290</v>
      </c>
    </row>
    <row r="1259" spans="1:19" s="94" customFormat="1" ht="23.25" customHeight="1">
      <c r="A1259" s="62" t="str">
        <f ca="1">IF(ISERROR(MATCH(F1259,Код_КВР,0)),"",INDIRECT(ADDRESS(MATCH(F1259,Код_КВР,0)+1,2,,,"КВР")))</f>
        <v>Субсидии бюджетным учреждениям на иные цели</v>
      </c>
      <c r="B1259" s="122">
        <v>810</v>
      </c>
      <c r="C1259" s="8" t="s">
        <v>196</v>
      </c>
      <c r="D1259" s="8" t="s">
        <v>222</v>
      </c>
      <c r="E1259" s="122" t="s">
        <v>656</v>
      </c>
      <c r="F1259" s="122">
        <v>612</v>
      </c>
      <c r="G1259" s="70"/>
      <c r="H1259" s="70"/>
      <c r="I1259" s="70"/>
      <c r="J1259" s="70"/>
      <c r="K1259" s="87"/>
      <c r="L1259" s="13"/>
      <c r="M1259" s="87"/>
      <c r="N1259" s="13"/>
      <c r="O1259" s="87"/>
      <c r="P1259" s="13"/>
      <c r="Q1259" s="87"/>
      <c r="R1259" s="13">
        <f>290</f>
        <v>290</v>
      </c>
      <c r="S1259" s="87">
        <f t="shared" si="261"/>
        <v>290</v>
      </c>
    </row>
    <row r="1260" spans="1:19" ht="82.5">
      <c r="A1260" s="62" t="str">
        <f ca="1">IF(ISERROR(MATCH(E1260,Код_КЦСР,0)),"",INDIRECT(ADDRESS(MATCH(E1260,Код_КЦСР,0)+1,2,,,"КЦСР")))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60" s="115">
        <v>810</v>
      </c>
      <c r="C1260" s="8" t="s">
        <v>196</v>
      </c>
      <c r="D1260" s="8" t="s">
        <v>222</v>
      </c>
      <c r="E1260" s="115" t="s">
        <v>414</v>
      </c>
      <c r="F1260" s="115"/>
      <c r="G1260" s="70">
        <f t="shared" si="267"/>
        <v>114241.1</v>
      </c>
      <c r="H1260" s="70">
        <f t="shared" si="267"/>
        <v>0</v>
      </c>
      <c r="I1260" s="70">
        <f t="shared" si="258"/>
        <v>114241.1</v>
      </c>
      <c r="J1260" s="70">
        <f t="shared" si="267"/>
        <v>0</v>
      </c>
      <c r="K1260" s="87">
        <f t="shared" si="255"/>
        <v>114241.1</v>
      </c>
      <c r="L1260" s="13">
        <f t="shared" si="267"/>
        <v>0</v>
      </c>
      <c r="M1260" s="87">
        <f aca="true" t="shared" si="268" ref="M1260:M1337">K1260+L1260</f>
        <v>114241.1</v>
      </c>
      <c r="N1260" s="13">
        <f t="shared" si="267"/>
        <v>0</v>
      </c>
      <c r="O1260" s="87">
        <f aca="true" t="shared" si="269" ref="O1260:O1337">M1260+N1260</f>
        <v>114241.1</v>
      </c>
      <c r="P1260" s="13">
        <f t="shared" si="267"/>
        <v>365.3</v>
      </c>
      <c r="Q1260" s="87">
        <f t="shared" si="262"/>
        <v>114606.40000000001</v>
      </c>
      <c r="R1260" s="13">
        <f t="shared" si="267"/>
        <v>-14250.1</v>
      </c>
      <c r="S1260" s="87">
        <f t="shared" si="261"/>
        <v>100356.3</v>
      </c>
    </row>
    <row r="1261" spans="1:19" ht="33">
      <c r="A1261" s="62" t="str">
        <f ca="1">IF(ISERROR(MATCH(F1261,Код_КВР,0)),"",INDIRECT(ADDRESS(MATCH(F1261,Код_КВР,0)+1,2,,,"КВР")))</f>
        <v>Предоставление субсидий бюджетным, автономным учреждениям и иным некоммерческим организациям</v>
      </c>
      <c r="B1261" s="115">
        <v>810</v>
      </c>
      <c r="C1261" s="8" t="s">
        <v>196</v>
      </c>
      <c r="D1261" s="8" t="s">
        <v>222</v>
      </c>
      <c r="E1261" s="115" t="s">
        <v>414</v>
      </c>
      <c r="F1261" s="115">
        <v>600</v>
      </c>
      <c r="G1261" s="70">
        <f t="shared" si="267"/>
        <v>114241.1</v>
      </c>
      <c r="H1261" s="70">
        <f t="shared" si="267"/>
        <v>0</v>
      </c>
      <c r="I1261" s="70">
        <f t="shared" si="258"/>
        <v>114241.1</v>
      </c>
      <c r="J1261" s="70">
        <f t="shared" si="267"/>
        <v>0</v>
      </c>
      <c r="K1261" s="87">
        <f t="shared" si="255"/>
        <v>114241.1</v>
      </c>
      <c r="L1261" s="13">
        <f t="shared" si="267"/>
        <v>0</v>
      </c>
      <c r="M1261" s="87">
        <f t="shared" si="268"/>
        <v>114241.1</v>
      </c>
      <c r="N1261" s="13">
        <f t="shared" si="267"/>
        <v>0</v>
      </c>
      <c r="O1261" s="87">
        <f t="shared" si="269"/>
        <v>114241.1</v>
      </c>
      <c r="P1261" s="13">
        <f t="shared" si="267"/>
        <v>365.3</v>
      </c>
      <c r="Q1261" s="87">
        <f t="shared" si="262"/>
        <v>114606.40000000001</v>
      </c>
      <c r="R1261" s="13">
        <f t="shared" si="267"/>
        <v>-14250.1</v>
      </c>
      <c r="S1261" s="87">
        <f t="shared" si="261"/>
        <v>100356.3</v>
      </c>
    </row>
    <row r="1262" spans="1:19" ht="12.75">
      <c r="A1262" s="62" t="str">
        <f ca="1">IF(ISERROR(MATCH(F1262,Код_КВР,0)),"",INDIRECT(ADDRESS(MATCH(F1262,Код_КВР,0)+1,2,,,"КВР")))</f>
        <v>Субсидии бюджетным учреждениям</v>
      </c>
      <c r="B1262" s="115">
        <v>810</v>
      </c>
      <c r="C1262" s="8" t="s">
        <v>196</v>
      </c>
      <c r="D1262" s="8" t="s">
        <v>222</v>
      </c>
      <c r="E1262" s="115" t="s">
        <v>414</v>
      </c>
      <c r="F1262" s="115">
        <v>610</v>
      </c>
      <c r="G1262" s="70">
        <f>G1263+G1264</f>
        <v>114241.1</v>
      </c>
      <c r="H1262" s="70">
        <f>H1263+H1264</f>
        <v>0</v>
      </c>
      <c r="I1262" s="70">
        <f t="shared" si="258"/>
        <v>114241.1</v>
      </c>
      <c r="J1262" s="70">
        <f>J1263+J1264</f>
        <v>0</v>
      </c>
      <c r="K1262" s="87">
        <f t="shared" si="255"/>
        <v>114241.1</v>
      </c>
      <c r="L1262" s="13">
        <f>L1263+L1264</f>
        <v>0</v>
      </c>
      <c r="M1262" s="87">
        <f t="shared" si="268"/>
        <v>114241.1</v>
      </c>
      <c r="N1262" s="13">
        <f>N1263+N1264</f>
        <v>0</v>
      </c>
      <c r="O1262" s="87">
        <f t="shared" si="269"/>
        <v>114241.1</v>
      </c>
      <c r="P1262" s="13">
        <f>P1263+P1264</f>
        <v>365.3</v>
      </c>
      <c r="Q1262" s="87">
        <f t="shared" si="262"/>
        <v>114606.40000000001</v>
      </c>
      <c r="R1262" s="13">
        <f>R1263+R1264</f>
        <v>-14250.1</v>
      </c>
      <c r="S1262" s="87">
        <f t="shared" si="261"/>
        <v>100356.3</v>
      </c>
    </row>
    <row r="1263" spans="1:19" ht="49.5">
      <c r="A1263" s="62" t="str">
        <f ca="1">IF(ISERROR(MATCH(F1263,Код_КВР,0)),"",INDIRECT(ADDRESS(MATCH(F1263,Код_КВР,0)+1,2,,,"КВР")))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63" s="115">
        <v>810</v>
      </c>
      <c r="C1263" s="8" t="s">
        <v>196</v>
      </c>
      <c r="D1263" s="8" t="s">
        <v>222</v>
      </c>
      <c r="E1263" s="115" t="s">
        <v>414</v>
      </c>
      <c r="F1263" s="115">
        <v>611</v>
      </c>
      <c r="G1263" s="70">
        <v>110548.1</v>
      </c>
      <c r="H1263" s="70"/>
      <c r="I1263" s="70">
        <f t="shared" si="258"/>
        <v>110548.1</v>
      </c>
      <c r="J1263" s="70"/>
      <c r="K1263" s="87">
        <f t="shared" si="255"/>
        <v>110548.1</v>
      </c>
      <c r="L1263" s="13"/>
      <c r="M1263" s="87">
        <f t="shared" si="268"/>
        <v>110548.1</v>
      </c>
      <c r="N1263" s="13"/>
      <c r="O1263" s="87">
        <f t="shared" si="269"/>
        <v>110548.1</v>
      </c>
      <c r="P1263" s="13"/>
      <c r="Q1263" s="87">
        <f t="shared" si="262"/>
        <v>110548.1</v>
      </c>
      <c r="R1263" s="13">
        <v>-13614</v>
      </c>
      <c r="S1263" s="87">
        <f t="shared" si="261"/>
        <v>96934.1</v>
      </c>
    </row>
    <row r="1264" spans="1:19" ht="12.75">
      <c r="A1264" s="62" t="str">
        <f ca="1">IF(ISERROR(MATCH(F1264,Код_КВР,0)),"",INDIRECT(ADDRESS(MATCH(F1264,Код_КВР,0)+1,2,,,"КВР")))</f>
        <v>Субсидии бюджетным учреждениям на иные цели</v>
      </c>
      <c r="B1264" s="115">
        <v>810</v>
      </c>
      <c r="C1264" s="8" t="s">
        <v>196</v>
      </c>
      <c r="D1264" s="8" t="s">
        <v>222</v>
      </c>
      <c r="E1264" s="115" t="s">
        <v>414</v>
      </c>
      <c r="F1264" s="115">
        <v>612</v>
      </c>
      <c r="G1264" s="70">
        <f>1491.7+811.6+1389.7</f>
        <v>3693</v>
      </c>
      <c r="H1264" s="70"/>
      <c r="I1264" s="70">
        <f t="shared" si="258"/>
        <v>3693</v>
      </c>
      <c r="J1264" s="70"/>
      <c r="K1264" s="87">
        <f t="shared" si="255"/>
        <v>3693</v>
      </c>
      <c r="L1264" s="13"/>
      <c r="M1264" s="87">
        <f t="shared" si="268"/>
        <v>3693</v>
      </c>
      <c r="N1264" s="13"/>
      <c r="O1264" s="87">
        <f t="shared" si="269"/>
        <v>3693</v>
      </c>
      <c r="P1264" s="13">
        <v>365.3</v>
      </c>
      <c r="Q1264" s="87">
        <f t="shared" si="262"/>
        <v>4058.3</v>
      </c>
      <c r="R1264" s="13">
        <v>-636.1</v>
      </c>
      <c r="S1264" s="87">
        <f t="shared" si="261"/>
        <v>3422.2000000000003</v>
      </c>
    </row>
    <row r="1265" spans="1:19" ht="12.75">
      <c r="A1265" s="12" t="s">
        <v>187</v>
      </c>
      <c r="B1265" s="115">
        <v>810</v>
      </c>
      <c r="C1265" s="8" t="s">
        <v>196</v>
      </c>
      <c r="D1265" s="8" t="s">
        <v>223</v>
      </c>
      <c r="E1265" s="115"/>
      <c r="F1265" s="115"/>
      <c r="G1265" s="70">
        <f>G1266+G1272</f>
        <v>661473.2000000001</v>
      </c>
      <c r="H1265" s="70">
        <f>H1266+H1272</f>
        <v>0</v>
      </c>
      <c r="I1265" s="70">
        <f t="shared" si="258"/>
        <v>661473.2000000001</v>
      </c>
      <c r="J1265" s="70">
        <f>J1266+J1272</f>
        <v>0</v>
      </c>
      <c r="K1265" s="87">
        <f t="shared" si="255"/>
        <v>661473.2000000001</v>
      </c>
      <c r="L1265" s="13">
        <f>L1266+L1272</f>
        <v>-825</v>
      </c>
      <c r="M1265" s="87">
        <f t="shared" si="268"/>
        <v>660648.2000000001</v>
      </c>
      <c r="N1265" s="13">
        <f>N1266+N1272</f>
        <v>432</v>
      </c>
      <c r="O1265" s="87">
        <f t="shared" si="269"/>
        <v>661080.2000000001</v>
      </c>
      <c r="P1265" s="13">
        <f>P1266+P1272+P1293</f>
        <v>-365.3</v>
      </c>
      <c r="Q1265" s="87">
        <f t="shared" si="262"/>
        <v>660714.9</v>
      </c>
      <c r="R1265" s="13">
        <f>R1266+R1272+R1293</f>
        <v>66966.9</v>
      </c>
      <c r="S1265" s="87">
        <f t="shared" si="261"/>
        <v>727681.8</v>
      </c>
    </row>
    <row r="1266" spans="1:19" ht="12.75">
      <c r="A1266" s="62" t="str">
        <f ca="1">IF(ISERROR(MATCH(E1266,Код_КЦСР,0)),"",INDIRECT(ADDRESS(MATCH(E1266,Код_КЦСР,0)+1,2,,,"КЦСР")))</f>
        <v>Муниципальная программа «Развитие образования» на 2013-2022 годы</v>
      </c>
      <c r="B1266" s="115">
        <v>810</v>
      </c>
      <c r="C1266" s="8" t="s">
        <v>196</v>
      </c>
      <c r="D1266" s="8" t="s">
        <v>223</v>
      </c>
      <c r="E1266" s="115" t="s">
        <v>279</v>
      </c>
      <c r="F1266" s="115"/>
      <c r="G1266" s="70">
        <f aca="true" t="shared" si="270" ref="G1266:R1270">G1267</f>
        <v>593.9</v>
      </c>
      <c r="H1266" s="70">
        <f t="shared" si="270"/>
        <v>0</v>
      </c>
      <c r="I1266" s="70">
        <f t="shared" si="258"/>
        <v>593.9</v>
      </c>
      <c r="J1266" s="70">
        <f t="shared" si="270"/>
        <v>0</v>
      </c>
      <c r="K1266" s="87">
        <f t="shared" si="255"/>
        <v>593.9</v>
      </c>
      <c r="L1266" s="13">
        <f t="shared" si="270"/>
        <v>0</v>
      </c>
      <c r="M1266" s="87">
        <f t="shared" si="268"/>
        <v>593.9</v>
      </c>
      <c r="N1266" s="13">
        <f t="shared" si="270"/>
        <v>0</v>
      </c>
      <c r="O1266" s="87">
        <f t="shared" si="269"/>
        <v>593.9</v>
      </c>
      <c r="P1266" s="13">
        <f t="shared" si="270"/>
        <v>0</v>
      </c>
      <c r="Q1266" s="87">
        <f t="shared" si="262"/>
        <v>593.9</v>
      </c>
      <c r="R1266" s="13">
        <f t="shared" si="270"/>
        <v>0</v>
      </c>
      <c r="S1266" s="87">
        <f t="shared" si="261"/>
        <v>593.9</v>
      </c>
    </row>
    <row r="1267" spans="1:19" ht="33">
      <c r="A1267" s="62" t="str">
        <f ca="1">IF(ISERROR(MATCH(E1267,Код_КЦСР,0)),"",INDIRECT(ADDRESS(MATCH(E1267,Код_КЦСР,0)+1,2,,,"КЦСР")))</f>
        <v>Социально-педагогическая поддержка детей-сирот и детей, оставшихся без попечения родителей</v>
      </c>
      <c r="B1267" s="115">
        <v>810</v>
      </c>
      <c r="C1267" s="8" t="s">
        <v>196</v>
      </c>
      <c r="D1267" s="8" t="s">
        <v>223</v>
      </c>
      <c r="E1267" s="115" t="s">
        <v>420</v>
      </c>
      <c r="F1267" s="115"/>
      <c r="G1267" s="70">
        <f t="shared" si="270"/>
        <v>593.9</v>
      </c>
      <c r="H1267" s="70">
        <f t="shared" si="270"/>
        <v>0</v>
      </c>
      <c r="I1267" s="70">
        <f t="shared" si="258"/>
        <v>593.9</v>
      </c>
      <c r="J1267" s="70">
        <f t="shared" si="270"/>
        <v>0</v>
      </c>
      <c r="K1267" s="87">
        <f t="shared" si="255"/>
        <v>593.9</v>
      </c>
      <c r="L1267" s="13">
        <f t="shared" si="270"/>
        <v>0</v>
      </c>
      <c r="M1267" s="87">
        <f t="shared" si="268"/>
        <v>593.9</v>
      </c>
      <c r="N1267" s="13">
        <f t="shared" si="270"/>
        <v>0</v>
      </c>
      <c r="O1267" s="87">
        <f t="shared" si="269"/>
        <v>593.9</v>
      </c>
      <c r="P1267" s="13">
        <f t="shared" si="270"/>
        <v>0</v>
      </c>
      <c r="Q1267" s="87">
        <f t="shared" si="262"/>
        <v>593.9</v>
      </c>
      <c r="R1267" s="13">
        <f t="shared" si="270"/>
        <v>0</v>
      </c>
      <c r="S1267" s="87">
        <f t="shared" si="261"/>
        <v>593.9</v>
      </c>
    </row>
    <row r="1268" spans="1:19" ht="66">
      <c r="A1268" s="62" t="str">
        <f ca="1">IF(ISERROR(MATCH(E1268,Код_КЦСР,0)),"",INDIRECT(ADDRESS(MATCH(E1268,Код_КЦСР,0)+1,2,,,"КЦСР")))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268" s="115">
        <v>810</v>
      </c>
      <c r="C1268" s="8" t="s">
        <v>196</v>
      </c>
      <c r="D1268" s="8" t="s">
        <v>223</v>
      </c>
      <c r="E1268" s="115" t="s">
        <v>422</v>
      </c>
      <c r="F1268" s="115"/>
      <c r="G1268" s="70">
        <f t="shared" si="270"/>
        <v>593.9</v>
      </c>
      <c r="H1268" s="70">
        <f t="shared" si="270"/>
        <v>0</v>
      </c>
      <c r="I1268" s="70">
        <f t="shared" si="258"/>
        <v>593.9</v>
      </c>
      <c r="J1268" s="70">
        <f t="shared" si="270"/>
        <v>0</v>
      </c>
      <c r="K1268" s="87">
        <f t="shared" si="255"/>
        <v>593.9</v>
      </c>
      <c r="L1268" s="13">
        <f t="shared" si="270"/>
        <v>0</v>
      </c>
      <c r="M1268" s="87">
        <f t="shared" si="268"/>
        <v>593.9</v>
      </c>
      <c r="N1268" s="13">
        <f t="shared" si="270"/>
        <v>0</v>
      </c>
      <c r="O1268" s="87">
        <f t="shared" si="269"/>
        <v>593.9</v>
      </c>
      <c r="P1268" s="13">
        <f t="shared" si="270"/>
        <v>0</v>
      </c>
      <c r="Q1268" s="87">
        <f t="shared" si="262"/>
        <v>593.9</v>
      </c>
      <c r="R1268" s="13">
        <f t="shared" si="270"/>
        <v>0</v>
      </c>
      <c r="S1268" s="87">
        <f t="shared" si="261"/>
        <v>593.9</v>
      </c>
    </row>
    <row r="1269" spans="1:19" ht="12.75">
      <c r="A1269" s="62" t="str">
        <f ca="1">IF(ISERROR(MATCH(F1269,Код_КВР,0)),"",INDIRECT(ADDRESS(MATCH(F1269,Код_КВР,0)+1,2,,,"КВР")))</f>
        <v>Социальное обеспечение и иные выплаты населению</v>
      </c>
      <c r="B1269" s="115">
        <v>810</v>
      </c>
      <c r="C1269" s="8" t="s">
        <v>196</v>
      </c>
      <c r="D1269" s="8" t="s">
        <v>223</v>
      </c>
      <c r="E1269" s="115" t="s">
        <v>422</v>
      </c>
      <c r="F1269" s="115">
        <v>300</v>
      </c>
      <c r="G1269" s="70">
        <f t="shared" si="270"/>
        <v>593.9</v>
      </c>
      <c r="H1269" s="70">
        <f t="shared" si="270"/>
        <v>0</v>
      </c>
      <c r="I1269" s="70">
        <f t="shared" si="258"/>
        <v>593.9</v>
      </c>
      <c r="J1269" s="70">
        <f t="shared" si="270"/>
        <v>0</v>
      </c>
      <c r="K1269" s="87">
        <f t="shared" si="255"/>
        <v>593.9</v>
      </c>
      <c r="L1269" s="13">
        <f t="shared" si="270"/>
        <v>0</v>
      </c>
      <c r="M1269" s="87">
        <f t="shared" si="268"/>
        <v>593.9</v>
      </c>
      <c r="N1269" s="13">
        <f t="shared" si="270"/>
        <v>0</v>
      </c>
      <c r="O1269" s="87">
        <f t="shared" si="269"/>
        <v>593.9</v>
      </c>
      <c r="P1269" s="13">
        <f t="shared" si="270"/>
        <v>0</v>
      </c>
      <c r="Q1269" s="87">
        <f t="shared" si="262"/>
        <v>593.9</v>
      </c>
      <c r="R1269" s="13">
        <f t="shared" si="270"/>
        <v>0</v>
      </c>
      <c r="S1269" s="87">
        <f t="shared" si="261"/>
        <v>593.9</v>
      </c>
    </row>
    <row r="1270" spans="1:19" ht="33">
      <c r="A1270" s="62" t="str">
        <f ca="1">IF(ISERROR(MATCH(F1270,Код_КВР,0)),"",INDIRECT(ADDRESS(MATCH(F1270,Код_КВР,0)+1,2,,,"КВР")))</f>
        <v>Социальные выплаты гражданам, кроме публичных нормативных социальных выплат</v>
      </c>
      <c r="B1270" s="115">
        <v>810</v>
      </c>
      <c r="C1270" s="8" t="s">
        <v>196</v>
      </c>
      <c r="D1270" s="8" t="s">
        <v>223</v>
      </c>
      <c r="E1270" s="115" t="s">
        <v>422</v>
      </c>
      <c r="F1270" s="115">
        <v>320</v>
      </c>
      <c r="G1270" s="70">
        <f t="shared" si="270"/>
        <v>593.9</v>
      </c>
      <c r="H1270" s="70">
        <f t="shared" si="270"/>
        <v>0</v>
      </c>
      <c r="I1270" s="70">
        <f t="shared" si="258"/>
        <v>593.9</v>
      </c>
      <c r="J1270" s="70">
        <f t="shared" si="270"/>
        <v>0</v>
      </c>
      <c r="K1270" s="87">
        <f t="shared" si="255"/>
        <v>593.9</v>
      </c>
      <c r="L1270" s="13">
        <f t="shared" si="270"/>
        <v>0</v>
      </c>
      <c r="M1270" s="87">
        <f t="shared" si="268"/>
        <v>593.9</v>
      </c>
      <c r="N1270" s="13">
        <f t="shared" si="270"/>
        <v>0</v>
      </c>
      <c r="O1270" s="87">
        <f t="shared" si="269"/>
        <v>593.9</v>
      </c>
      <c r="P1270" s="13">
        <f t="shared" si="270"/>
        <v>0</v>
      </c>
      <c r="Q1270" s="87">
        <f t="shared" si="262"/>
        <v>593.9</v>
      </c>
      <c r="R1270" s="13">
        <f t="shared" si="270"/>
        <v>0</v>
      </c>
      <c r="S1270" s="87">
        <f t="shared" si="261"/>
        <v>593.9</v>
      </c>
    </row>
    <row r="1271" spans="1:19" ht="33">
      <c r="A1271" s="62" t="str">
        <f ca="1">IF(ISERROR(MATCH(F1271,Код_КВР,0)),"",INDIRECT(ADDRESS(MATCH(F1271,Код_КВР,0)+1,2,,,"КВР")))</f>
        <v>Пособия, компенсации и иные социальные выплаты гражданам, кроме публичных нормативных обязательств</v>
      </c>
      <c r="B1271" s="115">
        <v>810</v>
      </c>
      <c r="C1271" s="8" t="s">
        <v>196</v>
      </c>
      <c r="D1271" s="8" t="s">
        <v>223</v>
      </c>
      <c r="E1271" s="115" t="s">
        <v>422</v>
      </c>
      <c r="F1271" s="115">
        <v>321</v>
      </c>
      <c r="G1271" s="70">
        <v>593.9</v>
      </c>
      <c r="H1271" s="70"/>
      <c r="I1271" s="70">
        <f t="shared" si="258"/>
        <v>593.9</v>
      </c>
      <c r="J1271" s="70"/>
      <c r="K1271" s="87">
        <f aca="true" t="shared" si="271" ref="K1271:K1351">I1271+J1271</f>
        <v>593.9</v>
      </c>
      <c r="L1271" s="13"/>
      <c r="M1271" s="87">
        <f t="shared" si="268"/>
        <v>593.9</v>
      </c>
      <c r="N1271" s="13"/>
      <c r="O1271" s="87">
        <f t="shared" si="269"/>
        <v>593.9</v>
      </c>
      <c r="P1271" s="13"/>
      <c r="Q1271" s="87">
        <f t="shared" si="262"/>
        <v>593.9</v>
      </c>
      <c r="R1271" s="13"/>
      <c r="S1271" s="87">
        <f t="shared" si="261"/>
        <v>593.9</v>
      </c>
    </row>
    <row r="1272" spans="1:19" ht="33">
      <c r="A1272" s="62" t="str">
        <f ca="1">IF(ISERROR(MATCH(E1272,Код_КЦСР,0)),"",INDIRECT(ADDRESS(MATCH(E1272,Код_КЦСР,0)+1,2,,,"КЦСР")))</f>
        <v>Муниципальная программа «Социальная поддержка граждан» на 2014-2018 годы</v>
      </c>
      <c r="B1272" s="115">
        <v>810</v>
      </c>
      <c r="C1272" s="8" t="s">
        <v>196</v>
      </c>
      <c r="D1272" s="8" t="s">
        <v>223</v>
      </c>
      <c r="E1272" s="115" t="s">
        <v>6</v>
      </c>
      <c r="F1272" s="115"/>
      <c r="G1272" s="70">
        <f>G1273+G1278+G1283+G1288+G1307+G1312+G1316</f>
        <v>660879.3</v>
      </c>
      <c r="H1272" s="70">
        <f>H1273+H1278+H1283+H1288+H1307+H1312+H1316</f>
        <v>0</v>
      </c>
      <c r="I1272" s="70">
        <f t="shared" si="258"/>
        <v>660879.3</v>
      </c>
      <c r="J1272" s="70">
        <f>J1273+J1278+J1283+J1288+J1307+J1312+J1316</f>
        <v>0</v>
      </c>
      <c r="K1272" s="87">
        <f t="shared" si="271"/>
        <v>660879.3</v>
      </c>
      <c r="L1272" s="13">
        <f>L1273+L1278+L1283+L1288+L1307+L1312+L1316</f>
        <v>-825</v>
      </c>
      <c r="M1272" s="87">
        <f t="shared" si="268"/>
        <v>660054.3</v>
      </c>
      <c r="N1272" s="13">
        <f>N1273+N1278+N1283+N1288+N1307+N1312+N1316+N1293</f>
        <v>432</v>
      </c>
      <c r="O1272" s="87">
        <f t="shared" si="269"/>
        <v>660486.3</v>
      </c>
      <c r="P1272" s="13">
        <f>P1273+P1278+P1283+P1288+P1307+P1312+P1316</f>
        <v>-365.3</v>
      </c>
      <c r="Q1272" s="87">
        <f t="shared" si="262"/>
        <v>660121</v>
      </c>
      <c r="R1272" s="13">
        <f>R1273+R1278+R1283+R1288+R1307+R1312+R1316+R1298+R1293</f>
        <v>66966.9</v>
      </c>
      <c r="S1272" s="87">
        <f t="shared" si="261"/>
        <v>727087.9</v>
      </c>
    </row>
    <row r="1273" spans="1:19" ht="33">
      <c r="A1273" s="62" t="str">
        <f ca="1">IF(ISERROR(MATCH(E1273,Код_КЦСР,0)),"",INDIRECT(ADDRESS(MATCH(E1273,Код_КЦСР,0)+1,2,,,"КЦСР")))</f>
        <v>Выплата ежемесячного социального пособия на оздоровление работникам учреждений здравоохранения</v>
      </c>
      <c r="B1273" s="115">
        <v>810</v>
      </c>
      <c r="C1273" s="8" t="s">
        <v>196</v>
      </c>
      <c r="D1273" s="8" t="s">
        <v>223</v>
      </c>
      <c r="E1273" s="115" t="s">
        <v>10</v>
      </c>
      <c r="F1273" s="115"/>
      <c r="G1273" s="70">
        <f aca="true" t="shared" si="272" ref="G1273:R1276">G1274</f>
        <v>27293</v>
      </c>
      <c r="H1273" s="70">
        <f t="shared" si="272"/>
        <v>0</v>
      </c>
      <c r="I1273" s="70">
        <f t="shared" si="258"/>
        <v>27293</v>
      </c>
      <c r="J1273" s="70">
        <f t="shared" si="272"/>
        <v>0</v>
      </c>
      <c r="K1273" s="87">
        <f t="shared" si="271"/>
        <v>27293</v>
      </c>
      <c r="L1273" s="13">
        <f t="shared" si="272"/>
        <v>-825</v>
      </c>
      <c r="M1273" s="87">
        <f t="shared" si="268"/>
        <v>26468</v>
      </c>
      <c r="N1273" s="13">
        <f t="shared" si="272"/>
        <v>0</v>
      </c>
      <c r="O1273" s="87">
        <f t="shared" si="269"/>
        <v>26468</v>
      </c>
      <c r="P1273" s="13">
        <f t="shared" si="272"/>
        <v>0</v>
      </c>
      <c r="Q1273" s="87">
        <f t="shared" si="262"/>
        <v>26468</v>
      </c>
      <c r="R1273" s="13">
        <f t="shared" si="272"/>
        <v>0</v>
      </c>
      <c r="S1273" s="87">
        <f t="shared" si="261"/>
        <v>26468</v>
      </c>
    </row>
    <row r="1274" spans="1:19" ht="51.75" customHeight="1">
      <c r="A1274" s="62" t="str">
        <f ca="1">IF(ISERROR(MATCH(E1274,Код_КЦСР,0)),"",INDIRECT(ADDRESS(MATCH(E1274,Код_КЦСР,0)+1,2,,,"КЦСР")))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1274" s="115">
        <v>810</v>
      </c>
      <c r="C1274" s="8" t="s">
        <v>196</v>
      </c>
      <c r="D1274" s="8" t="s">
        <v>223</v>
      </c>
      <c r="E1274" s="115" t="s">
        <v>12</v>
      </c>
      <c r="F1274" s="115"/>
      <c r="G1274" s="70">
        <f t="shared" si="272"/>
        <v>27293</v>
      </c>
      <c r="H1274" s="70">
        <f t="shared" si="272"/>
        <v>0</v>
      </c>
      <c r="I1274" s="70">
        <f t="shared" si="258"/>
        <v>27293</v>
      </c>
      <c r="J1274" s="70">
        <f t="shared" si="272"/>
        <v>0</v>
      </c>
      <c r="K1274" s="87">
        <f t="shared" si="271"/>
        <v>27293</v>
      </c>
      <c r="L1274" s="13">
        <f t="shared" si="272"/>
        <v>-825</v>
      </c>
      <c r="M1274" s="87">
        <f t="shared" si="268"/>
        <v>26468</v>
      </c>
      <c r="N1274" s="13">
        <f t="shared" si="272"/>
        <v>0</v>
      </c>
      <c r="O1274" s="87">
        <f t="shared" si="269"/>
        <v>26468</v>
      </c>
      <c r="P1274" s="13">
        <f t="shared" si="272"/>
        <v>0</v>
      </c>
      <c r="Q1274" s="87">
        <f t="shared" si="262"/>
        <v>26468</v>
      </c>
      <c r="R1274" s="13">
        <f t="shared" si="272"/>
        <v>0</v>
      </c>
      <c r="S1274" s="87">
        <f t="shared" si="261"/>
        <v>26468</v>
      </c>
    </row>
    <row r="1275" spans="1:19" ht="12.75">
      <c r="A1275" s="62" t="str">
        <f ca="1">IF(ISERROR(MATCH(F1275,Код_КВР,0)),"",INDIRECT(ADDRESS(MATCH(F1275,Код_КВР,0)+1,2,,,"КВР")))</f>
        <v>Социальное обеспечение и иные выплаты населению</v>
      </c>
      <c r="B1275" s="115">
        <v>810</v>
      </c>
      <c r="C1275" s="8" t="s">
        <v>196</v>
      </c>
      <c r="D1275" s="8" t="s">
        <v>223</v>
      </c>
      <c r="E1275" s="115" t="s">
        <v>12</v>
      </c>
      <c r="F1275" s="115">
        <v>300</v>
      </c>
      <c r="G1275" s="70">
        <f t="shared" si="272"/>
        <v>27293</v>
      </c>
      <c r="H1275" s="70">
        <f t="shared" si="272"/>
        <v>0</v>
      </c>
      <c r="I1275" s="70">
        <f t="shared" si="258"/>
        <v>27293</v>
      </c>
      <c r="J1275" s="70">
        <f t="shared" si="272"/>
        <v>0</v>
      </c>
      <c r="K1275" s="87">
        <f t="shared" si="271"/>
        <v>27293</v>
      </c>
      <c r="L1275" s="13">
        <f t="shared" si="272"/>
        <v>-825</v>
      </c>
      <c r="M1275" s="87">
        <f t="shared" si="268"/>
        <v>26468</v>
      </c>
      <c r="N1275" s="13">
        <f t="shared" si="272"/>
        <v>0</v>
      </c>
      <c r="O1275" s="87">
        <f t="shared" si="269"/>
        <v>26468</v>
      </c>
      <c r="P1275" s="13">
        <f t="shared" si="272"/>
        <v>0</v>
      </c>
      <c r="Q1275" s="87">
        <f t="shared" si="262"/>
        <v>26468</v>
      </c>
      <c r="R1275" s="13">
        <f t="shared" si="272"/>
        <v>0</v>
      </c>
      <c r="S1275" s="87">
        <f t="shared" si="261"/>
        <v>26468</v>
      </c>
    </row>
    <row r="1276" spans="1:19" ht="12.75">
      <c r="A1276" s="62" t="str">
        <f ca="1">IF(ISERROR(MATCH(F1276,Код_КВР,0)),"",INDIRECT(ADDRESS(MATCH(F1276,Код_КВР,0)+1,2,,,"КВР")))</f>
        <v>Публичные нормативные социальные выплаты гражданам</v>
      </c>
      <c r="B1276" s="115">
        <v>810</v>
      </c>
      <c r="C1276" s="8" t="s">
        <v>196</v>
      </c>
      <c r="D1276" s="8" t="s">
        <v>223</v>
      </c>
      <c r="E1276" s="115" t="s">
        <v>12</v>
      </c>
      <c r="F1276" s="115">
        <v>310</v>
      </c>
      <c r="G1276" s="70">
        <f t="shared" si="272"/>
        <v>27293</v>
      </c>
      <c r="H1276" s="70">
        <f t="shared" si="272"/>
        <v>0</v>
      </c>
      <c r="I1276" s="70">
        <f t="shared" si="258"/>
        <v>27293</v>
      </c>
      <c r="J1276" s="70">
        <f t="shared" si="272"/>
        <v>0</v>
      </c>
      <c r="K1276" s="87">
        <f t="shared" si="271"/>
        <v>27293</v>
      </c>
      <c r="L1276" s="13">
        <f t="shared" si="272"/>
        <v>-825</v>
      </c>
      <c r="M1276" s="87">
        <f t="shared" si="268"/>
        <v>26468</v>
      </c>
      <c r="N1276" s="13">
        <f t="shared" si="272"/>
        <v>0</v>
      </c>
      <c r="O1276" s="87">
        <f t="shared" si="269"/>
        <v>26468</v>
      </c>
      <c r="P1276" s="13">
        <f t="shared" si="272"/>
        <v>0</v>
      </c>
      <c r="Q1276" s="87">
        <f t="shared" si="262"/>
        <v>26468</v>
      </c>
      <c r="R1276" s="13">
        <f t="shared" si="272"/>
        <v>0</v>
      </c>
      <c r="S1276" s="87">
        <f t="shared" si="261"/>
        <v>26468</v>
      </c>
    </row>
    <row r="1277" spans="1:19" ht="33">
      <c r="A1277" s="62" t="str">
        <f ca="1">IF(ISERROR(MATCH(F1277,Код_КВР,0)),"",INDIRECT(ADDRESS(MATCH(F1277,Код_КВР,0)+1,2,,,"КВР")))</f>
        <v>Пособия, компенсации, меры социальной поддержки по публичным нормативным обязательствам</v>
      </c>
      <c r="B1277" s="115">
        <v>810</v>
      </c>
      <c r="C1277" s="8" t="s">
        <v>196</v>
      </c>
      <c r="D1277" s="8" t="s">
        <v>223</v>
      </c>
      <c r="E1277" s="115" t="s">
        <v>12</v>
      </c>
      <c r="F1277" s="115">
        <v>313</v>
      </c>
      <c r="G1277" s="70">
        <v>27293</v>
      </c>
      <c r="H1277" s="70"/>
      <c r="I1277" s="70">
        <f t="shared" si="258"/>
        <v>27293</v>
      </c>
      <c r="J1277" s="70"/>
      <c r="K1277" s="87">
        <f t="shared" si="271"/>
        <v>27293</v>
      </c>
      <c r="L1277" s="13">
        <v>-825</v>
      </c>
      <c r="M1277" s="87">
        <f t="shared" si="268"/>
        <v>26468</v>
      </c>
      <c r="N1277" s="13"/>
      <c r="O1277" s="87">
        <f t="shared" si="269"/>
        <v>26468</v>
      </c>
      <c r="P1277" s="13"/>
      <c r="Q1277" s="87">
        <f t="shared" si="262"/>
        <v>26468</v>
      </c>
      <c r="R1277" s="13"/>
      <c r="S1277" s="87">
        <f t="shared" si="261"/>
        <v>26468</v>
      </c>
    </row>
    <row r="1278" spans="1:19" ht="33">
      <c r="A1278" s="62" t="str">
        <f ca="1">IF(ISERROR(MATCH(E1278,Код_КЦСР,0)),"",INDIRECT(ADDRESS(MATCH(E1278,Код_КЦСР,0)+1,2,,,"КЦСР")))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1278" s="115">
        <v>810</v>
      </c>
      <c r="C1278" s="8" t="s">
        <v>196</v>
      </c>
      <c r="D1278" s="8" t="s">
        <v>223</v>
      </c>
      <c r="E1278" s="115" t="s">
        <v>13</v>
      </c>
      <c r="F1278" s="115"/>
      <c r="G1278" s="70">
        <f aca="true" t="shared" si="273" ref="G1278:R1281">G1279</f>
        <v>3888</v>
      </c>
      <c r="H1278" s="70">
        <f t="shared" si="273"/>
        <v>0</v>
      </c>
      <c r="I1278" s="70">
        <f t="shared" si="258"/>
        <v>3888</v>
      </c>
      <c r="J1278" s="70">
        <f t="shared" si="273"/>
        <v>0</v>
      </c>
      <c r="K1278" s="87">
        <f t="shared" si="271"/>
        <v>3888</v>
      </c>
      <c r="L1278" s="13">
        <f t="shared" si="273"/>
        <v>0</v>
      </c>
      <c r="M1278" s="87">
        <f t="shared" si="268"/>
        <v>3888</v>
      </c>
      <c r="N1278" s="13">
        <f t="shared" si="273"/>
        <v>0</v>
      </c>
      <c r="O1278" s="87">
        <f t="shared" si="269"/>
        <v>3888</v>
      </c>
      <c r="P1278" s="13">
        <f t="shared" si="273"/>
        <v>0</v>
      </c>
      <c r="Q1278" s="87">
        <f t="shared" si="262"/>
        <v>3888</v>
      </c>
      <c r="R1278" s="13">
        <f t="shared" si="273"/>
        <v>0</v>
      </c>
      <c r="S1278" s="87">
        <f t="shared" si="261"/>
        <v>3888</v>
      </c>
    </row>
    <row r="1279" spans="1:19" ht="50.25" customHeight="1">
      <c r="A1279" s="62" t="str">
        <f ca="1">IF(ISERROR(MATCH(E1279,Код_КЦСР,0)),"",INDIRECT(ADDRESS(MATCH(E1279,Код_КЦСР,0)+1,2,,,"КЦСР")))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1279" s="115">
        <v>810</v>
      </c>
      <c r="C1279" s="8" t="s">
        <v>196</v>
      </c>
      <c r="D1279" s="8" t="s">
        <v>223</v>
      </c>
      <c r="E1279" s="115" t="s">
        <v>14</v>
      </c>
      <c r="F1279" s="115"/>
      <c r="G1279" s="70">
        <f t="shared" si="273"/>
        <v>3888</v>
      </c>
      <c r="H1279" s="70">
        <f t="shared" si="273"/>
        <v>0</v>
      </c>
      <c r="I1279" s="70">
        <f t="shared" si="258"/>
        <v>3888</v>
      </c>
      <c r="J1279" s="70">
        <f t="shared" si="273"/>
        <v>0</v>
      </c>
      <c r="K1279" s="87">
        <f t="shared" si="271"/>
        <v>3888</v>
      </c>
      <c r="L1279" s="13">
        <f t="shared" si="273"/>
        <v>0</v>
      </c>
      <c r="M1279" s="87">
        <f t="shared" si="268"/>
        <v>3888</v>
      </c>
      <c r="N1279" s="13">
        <f t="shared" si="273"/>
        <v>0</v>
      </c>
      <c r="O1279" s="87">
        <f t="shared" si="269"/>
        <v>3888</v>
      </c>
      <c r="P1279" s="13">
        <f t="shared" si="273"/>
        <v>0</v>
      </c>
      <c r="Q1279" s="87">
        <f t="shared" si="262"/>
        <v>3888</v>
      </c>
      <c r="R1279" s="13">
        <f t="shared" si="273"/>
        <v>0</v>
      </c>
      <c r="S1279" s="87">
        <f t="shared" si="261"/>
        <v>3888</v>
      </c>
    </row>
    <row r="1280" spans="1:19" ht="12.75">
      <c r="A1280" s="62" t="str">
        <f ca="1">IF(ISERROR(MATCH(F1280,Код_КВР,0)),"",INDIRECT(ADDRESS(MATCH(F1280,Код_КВР,0)+1,2,,,"КВР")))</f>
        <v>Социальное обеспечение и иные выплаты населению</v>
      </c>
      <c r="B1280" s="115">
        <v>810</v>
      </c>
      <c r="C1280" s="8" t="s">
        <v>196</v>
      </c>
      <c r="D1280" s="8" t="s">
        <v>223</v>
      </c>
      <c r="E1280" s="115" t="s">
        <v>14</v>
      </c>
      <c r="F1280" s="115">
        <v>300</v>
      </c>
      <c r="G1280" s="70">
        <f t="shared" si="273"/>
        <v>3888</v>
      </c>
      <c r="H1280" s="70">
        <f t="shared" si="273"/>
        <v>0</v>
      </c>
      <c r="I1280" s="70">
        <f t="shared" si="258"/>
        <v>3888</v>
      </c>
      <c r="J1280" s="70">
        <f t="shared" si="273"/>
        <v>0</v>
      </c>
      <c r="K1280" s="87">
        <f t="shared" si="271"/>
        <v>3888</v>
      </c>
      <c r="L1280" s="13">
        <f t="shared" si="273"/>
        <v>0</v>
      </c>
      <c r="M1280" s="87">
        <f t="shared" si="268"/>
        <v>3888</v>
      </c>
      <c r="N1280" s="13">
        <f t="shared" si="273"/>
        <v>0</v>
      </c>
      <c r="O1280" s="87">
        <f t="shared" si="269"/>
        <v>3888</v>
      </c>
      <c r="P1280" s="13">
        <f t="shared" si="273"/>
        <v>0</v>
      </c>
      <c r="Q1280" s="87">
        <f t="shared" si="262"/>
        <v>3888</v>
      </c>
      <c r="R1280" s="13">
        <f t="shared" si="273"/>
        <v>0</v>
      </c>
      <c r="S1280" s="87">
        <f t="shared" si="261"/>
        <v>3888</v>
      </c>
    </row>
    <row r="1281" spans="1:19" ht="12.75">
      <c r="A1281" s="62" t="str">
        <f ca="1">IF(ISERROR(MATCH(F1281,Код_КВР,0)),"",INDIRECT(ADDRESS(MATCH(F1281,Код_КВР,0)+1,2,,,"КВР")))</f>
        <v>Публичные нормативные социальные выплаты гражданам</v>
      </c>
      <c r="B1281" s="115">
        <v>810</v>
      </c>
      <c r="C1281" s="8" t="s">
        <v>196</v>
      </c>
      <c r="D1281" s="8" t="s">
        <v>223</v>
      </c>
      <c r="E1281" s="115" t="s">
        <v>14</v>
      </c>
      <c r="F1281" s="115">
        <v>310</v>
      </c>
      <c r="G1281" s="70">
        <f t="shared" si="273"/>
        <v>3888</v>
      </c>
      <c r="H1281" s="70">
        <f t="shared" si="273"/>
        <v>0</v>
      </c>
      <c r="I1281" s="70">
        <f t="shared" si="258"/>
        <v>3888</v>
      </c>
      <c r="J1281" s="70">
        <f t="shared" si="273"/>
        <v>0</v>
      </c>
      <c r="K1281" s="87">
        <f t="shared" si="271"/>
        <v>3888</v>
      </c>
      <c r="L1281" s="13">
        <f t="shared" si="273"/>
        <v>0</v>
      </c>
      <c r="M1281" s="87">
        <f t="shared" si="268"/>
        <v>3888</v>
      </c>
      <c r="N1281" s="13">
        <f t="shared" si="273"/>
        <v>0</v>
      </c>
      <c r="O1281" s="87">
        <f t="shared" si="269"/>
        <v>3888</v>
      </c>
      <c r="P1281" s="13">
        <f t="shared" si="273"/>
        <v>0</v>
      </c>
      <c r="Q1281" s="87">
        <f t="shared" si="262"/>
        <v>3888</v>
      </c>
      <c r="R1281" s="13">
        <f t="shared" si="273"/>
        <v>0</v>
      </c>
      <c r="S1281" s="87">
        <f t="shared" si="261"/>
        <v>3888</v>
      </c>
    </row>
    <row r="1282" spans="1:19" ht="33">
      <c r="A1282" s="62" t="str">
        <f ca="1">IF(ISERROR(MATCH(F1282,Код_КВР,0)),"",INDIRECT(ADDRESS(MATCH(F1282,Код_КВР,0)+1,2,,,"КВР")))</f>
        <v>Пособия, компенсации, меры социальной поддержки по публичным нормативным обязательствам</v>
      </c>
      <c r="B1282" s="115">
        <v>810</v>
      </c>
      <c r="C1282" s="8" t="s">
        <v>196</v>
      </c>
      <c r="D1282" s="8" t="s">
        <v>223</v>
      </c>
      <c r="E1282" s="115" t="s">
        <v>14</v>
      </c>
      <c r="F1282" s="115">
        <v>313</v>
      </c>
      <c r="G1282" s="70">
        <v>3888</v>
      </c>
      <c r="H1282" s="70"/>
      <c r="I1282" s="70">
        <f t="shared" si="258"/>
        <v>3888</v>
      </c>
      <c r="J1282" s="70"/>
      <c r="K1282" s="87">
        <f t="shared" si="271"/>
        <v>3888</v>
      </c>
      <c r="L1282" s="13"/>
      <c r="M1282" s="87">
        <f t="shared" si="268"/>
        <v>3888</v>
      </c>
      <c r="N1282" s="13"/>
      <c r="O1282" s="87">
        <f t="shared" si="269"/>
        <v>3888</v>
      </c>
      <c r="P1282" s="13"/>
      <c r="Q1282" s="87">
        <f t="shared" si="262"/>
        <v>3888</v>
      </c>
      <c r="R1282" s="13"/>
      <c r="S1282" s="87">
        <f t="shared" si="261"/>
        <v>3888</v>
      </c>
    </row>
    <row r="1283" spans="1:19" ht="33">
      <c r="A1283" s="62" t="str">
        <f ca="1">IF(ISERROR(MATCH(E1283,Код_КЦСР,0)),"",INDIRECT(ADDRESS(MATCH(E1283,Код_КЦСР,0)+1,2,,,"КЦСР")))</f>
        <v>Выплата вознаграждений лицам, имеющим знак «За особые заслуги перед городом Череповцом»</v>
      </c>
      <c r="B1283" s="115">
        <v>810</v>
      </c>
      <c r="C1283" s="8" t="s">
        <v>196</v>
      </c>
      <c r="D1283" s="8" t="s">
        <v>223</v>
      </c>
      <c r="E1283" s="115" t="s">
        <v>15</v>
      </c>
      <c r="F1283" s="115"/>
      <c r="G1283" s="70">
        <f aca="true" t="shared" si="274" ref="G1283:R1286">G1284</f>
        <v>421.2</v>
      </c>
      <c r="H1283" s="70">
        <f t="shared" si="274"/>
        <v>0</v>
      </c>
      <c r="I1283" s="70">
        <f t="shared" si="258"/>
        <v>421.2</v>
      </c>
      <c r="J1283" s="70">
        <f t="shared" si="274"/>
        <v>0</v>
      </c>
      <c r="K1283" s="87">
        <f t="shared" si="271"/>
        <v>421.2</v>
      </c>
      <c r="L1283" s="13">
        <f t="shared" si="274"/>
        <v>0</v>
      </c>
      <c r="M1283" s="87">
        <f t="shared" si="268"/>
        <v>421.2</v>
      </c>
      <c r="N1283" s="13">
        <f t="shared" si="274"/>
        <v>0</v>
      </c>
      <c r="O1283" s="87">
        <f t="shared" si="269"/>
        <v>421.2</v>
      </c>
      <c r="P1283" s="13">
        <f t="shared" si="274"/>
        <v>0</v>
      </c>
      <c r="Q1283" s="87">
        <f t="shared" si="262"/>
        <v>421.2</v>
      </c>
      <c r="R1283" s="13">
        <f t="shared" si="274"/>
        <v>0</v>
      </c>
      <c r="S1283" s="87">
        <f t="shared" si="261"/>
        <v>421.2</v>
      </c>
    </row>
    <row r="1284" spans="1:19" ht="49.5">
      <c r="A1284" s="62" t="str">
        <f ca="1">IF(ISERROR(MATCH(E1284,Код_КЦСР,0)),"",INDIRECT(ADDRESS(MATCH(E1284,Код_КЦСР,0)+1,2,,,"КЦСР")))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1284" s="115">
        <v>810</v>
      </c>
      <c r="C1284" s="8" t="s">
        <v>196</v>
      </c>
      <c r="D1284" s="8" t="s">
        <v>223</v>
      </c>
      <c r="E1284" s="115" t="s">
        <v>17</v>
      </c>
      <c r="F1284" s="115"/>
      <c r="G1284" s="70">
        <f t="shared" si="274"/>
        <v>421.2</v>
      </c>
      <c r="H1284" s="70">
        <f t="shared" si="274"/>
        <v>0</v>
      </c>
      <c r="I1284" s="70">
        <f t="shared" si="258"/>
        <v>421.2</v>
      </c>
      <c r="J1284" s="70">
        <f t="shared" si="274"/>
        <v>0</v>
      </c>
      <c r="K1284" s="87">
        <f t="shared" si="271"/>
        <v>421.2</v>
      </c>
      <c r="L1284" s="13">
        <f t="shared" si="274"/>
        <v>0</v>
      </c>
      <c r="M1284" s="87">
        <f t="shared" si="268"/>
        <v>421.2</v>
      </c>
      <c r="N1284" s="13">
        <f t="shared" si="274"/>
        <v>0</v>
      </c>
      <c r="O1284" s="87">
        <f t="shared" si="269"/>
        <v>421.2</v>
      </c>
      <c r="P1284" s="13">
        <f t="shared" si="274"/>
        <v>0</v>
      </c>
      <c r="Q1284" s="87">
        <f t="shared" si="262"/>
        <v>421.2</v>
      </c>
      <c r="R1284" s="13">
        <f t="shared" si="274"/>
        <v>0</v>
      </c>
      <c r="S1284" s="87">
        <f t="shared" si="261"/>
        <v>421.2</v>
      </c>
    </row>
    <row r="1285" spans="1:19" ht="12.75">
      <c r="A1285" s="62" t="str">
        <f ca="1">IF(ISERROR(MATCH(F1285,Код_КВР,0)),"",INDIRECT(ADDRESS(MATCH(F1285,Код_КВР,0)+1,2,,,"КВР")))</f>
        <v>Социальное обеспечение и иные выплаты населению</v>
      </c>
      <c r="B1285" s="115">
        <v>810</v>
      </c>
      <c r="C1285" s="8" t="s">
        <v>196</v>
      </c>
      <c r="D1285" s="8" t="s">
        <v>223</v>
      </c>
      <c r="E1285" s="115" t="s">
        <v>17</v>
      </c>
      <c r="F1285" s="115">
        <v>300</v>
      </c>
      <c r="G1285" s="70">
        <f t="shared" si="274"/>
        <v>421.2</v>
      </c>
      <c r="H1285" s="70">
        <f t="shared" si="274"/>
        <v>0</v>
      </c>
      <c r="I1285" s="70">
        <f t="shared" si="258"/>
        <v>421.2</v>
      </c>
      <c r="J1285" s="70">
        <f t="shared" si="274"/>
        <v>0</v>
      </c>
      <c r="K1285" s="87">
        <f t="shared" si="271"/>
        <v>421.2</v>
      </c>
      <c r="L1285" s="13">
        <f t="shared" si="274"/>
        <v>0</v>
      </c>
      <c r="M1285" s="87">
        <f t="shared" si="268"/>
        <v>421.2</v>
      </c>
      <c r="N1285" s="13">
        <f t="shared" si="274"/>
        <v>0</v>
      </c>
      <c r="O1285" s="87">
        <f t="shared" si="269"/>
        <v>421.2</v>
      </c>
      <c r="P1285" s="13">
        <f t="shared" si="274"/>
        <v>0</v>
      </c>
      <c r="Q1285" s="87">
        <f t="shared" si="262"/>
        <v>421.2</v>
      </c>
      <c r="R1285" s="13">
        <f t="shared" si="274"/>
        <v>0</v>
      </c>
      <c r="S1285" s="87">
        <f t="shared" si="261"/>
        <v>421.2</v>
      </c>
    </row>
    <row r="1286" spans="1:19" ht="12.75">
      <c r="A1286" s="62" t="str">
        <f ca="1">IF(ISERROR(MATCH(F1286,Код_КВР,0)),"",INDIRECT(ADDRESS(MATCH(F1286,Код_КВР,0)+1,2,,,"КВР")))</f>
        <v>Публичные нормативные социальные выплаты гражданам</v>
      </c>
      <c r="B1286" s="115">
        <v>810</v>
      </c>
      <c r="C1286" s="8" t="s">
        <v>196</v>
      </c>
      <c r="D1286" s="8" t="s">
        <v>223</v>
      </c>
      <c r="E1286" s="115" t="s">
        <v>17</v>
      </c>
      <c r="F1286" s="115">
        <v>310</v>
      </c>
      <c r="G1286" s="70">
        <f t="shared" si="274"/>
        <v>421.2</v>
      </c>
      <c r="H1286" s="70">
        <f t="shared" si="274"/>
        <v>0</v>
      </c>
      <c r="I1286" s="70">
        <f aca="true" t="shared" si="275" ref="I1286:I1373">G1286+H1286</f>
        <v>421.2</v>
      </c>
      <c r="J1286" s="70">
        <f t="shared" si="274"/>
        <v>0</v>
      </c>
      <c r="K1286" s="87">
        <f t="shared" si="271"/>
        <v>421.2</v>
      </c>
      <c r="L1286" s="13">
        <f t="shared" si="274"/>
        <v>0</v>
      </c>
      <c r="M1286" s="87">
        <f t="shared" si="268"/>
        <v>421.2</v>
      </c>
      <c r="N1286" s="13">
        <f t="shared" si="274"/>
        <v>0</v>
      </c>
      <c r="O1286" s="87">
        <f t="shared" si="269"/>
        <v>421.2</v>
      </c>
      <c r="P1286" s="13">
        <f t="shared" si="274"/>
        <v>0</v>
      </c>
      <c r="Q1286" s="87">
        <f t="shared" si="262"/>
        <v>421.2</v>
      </c>
      <c r="R1286" s="13">
        <f t="shared" si="274"/>
        <v>0</v>
      </c>
      <c r="S1286" s="87">
        <f t="shared" si="261"/>
        <v>421.2</v>
      </c>
    </row>
    <row r="1287" spans="1:19" ht="33">
      <c r="A1287" s="62" t="str">
        <f ca="1">IF(ISERROR(MATCH(F1287,Код_КВР,0)),"",INDIRECT(ADDRESS(MATCH(F1287,Код_КВР,0)+1,2,,,"КВР")))</f>
        <v>Пособия, компенсации, меры социальной поддержки по публичным нормативным обязательствам</v>
      </c>
      <c r="B1287" s="115">
        <v>810</v>
      </c>
      <c r="C1287" s="8" t="s">
        <v>196</v>
      </c>
      <c r="D1287" s="8" t="s">
        <v>223</v>
      </c>
      <c r="E1287" s="115" t="s">
        <v>17</v>
      </c>
      <c r="F1287" s="115">
        <v>313</v>
      </c>
      <c r="G1287" s="70">
        <v>421.2</v>
      </c>
      <c r="H1287" s="70"/>
      <c r="I1287" s="70">
        <f t="shared" si="275"/>
        <v>421.2</v>
      </c>
      <c r="J1287" s="70"/>
      <c r="K1287" s="87">
        <f t="shared" si="271"/>
        <v>421.2</v>
      </c>
      <c r="L1287" s="13"/>
      <c r="M1287" s="87">
        <f t="shared" si="268"/>
        <v>421.2</v>
      </c>
      <c r="N1287" s="13"/>
      <c r="O1287" s="87">
        <f t="shared" si="269"/>
        <v>421.2</v>
      </c>
      <c r="P1287" s="13"/>
      <c r="Q1287" s="87">
        <f t="shared" si="262"/>
        <v>421.2</v>
      </c>
      <c r="R1287" s="13"/>
      <c r="S1287" s="87">
        <f t="shared" si="261"/>
        <v>421.2</v>
      </c>
    </row>
    <row r="1288" spans="1:19" ht="33">
      <c r="A1288" s="62" t="str">
        <f ca="1">IF(ISERROR(MATCH(E1288,Код_КЦСР,0)),"",INDIRECT(ADDRESS(MATCH(E1288,Код_КЦСР,0)+1,2,,,"КЦСР")))</f>
        <v>Выплата вознаграждений лицам, имеющим звание «Почетный гражданин города Череповца</v>
      </c>
      <c r="B1288" s="115">
        <v>810</v>
      </c>
      <c r="C1288" s="8" t="s">
        <v>196</v>
      </c>
      <c r="D1288" s="8" t="s">
        <v>223</v>
      </c>
      <c r="E1288" s="115" t="s">
        <v>18</v>
      </c>
      <c r="F1288" s="115"/>
      <c r="G1288" s="70">
        <f aca="true" t="shared" si="276" ref="G1288:R1291">G1289</f>
        <v>449.5</v>
      </c>
      <c r="H1288" s="70">
        <f t="shared" si="276"/>
        <v>0</v>
      </c>
      <c r="I1288" s="70">
        <f t="shared" si="275"/>
        <v>449.5</v>
      </c>
      <c r="J1288" s="70">
        <f t="shared" si="276"/>
        <v>0</v>
      </c>
      <c r="K1288" s="87">
        <f t="shared" si="271"/>
        <v>449.5</v>
      </c>
      <c r="L1288" s="13">
        <f t="shared" si="276"/>
        <v>0</v>
      </c>
      <c r="M1288" s="87">
        <f t="shared" si="268"/>
        <v>449.5</v>
      </c>
      <c r="N1288" s="13">
        <f t="shared" si="276"/>
        <v>0</v>
      </c>
      <c r="O1288" s="87">
        <f t="shared" si="269"/>
        <v>449.5</v>
      </c>
      <c r="P1288" s="13">
        <f t="shared" si="276"/>
        <v>0</v>
      </c>
      <c r="Q1288" s="87">
        <f t="shared" si="262"/>
        <v>449.5</v>
      </c>
      <c r="R1288" s="13">
        <f t="shared" si="276"/>
        <v>0</v>
      </c>
      <c r="S1288" s="87">
        <f t="shared" si="261"/>
        <v>449.5</v>
      </c>
    </row>
    <row r="1289" spans="1:19" ht="49.5">
      <c r="A1289" s="62" t="str">
        <f ca="1">IF(ISERROR(MATCH(E1289,Код_КЦСР,0)),"",INDIRECT(ADDRESS(MATCH(E1289,Код_КЦСР,0)+1,2,,,"КЦСР")))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1289" s="115">
        <v>810</v>
      </c>
      <c r="C1289" s="8" t="s">
        <v>196</v>
      </c>
      <c r="D1289" s="8" t="s">
        <v>223</v>
      </c>
      <c r="E1289" s="115" t="s">
        <v>20</v>
      </c>
      <c r="F1289" s="115"/>
      <c r="G1289" s="70">
        <f t="shared" si="276"/>
        <v>449.5</v>
      </c>
      <c r="H1289" s="70">
        <f t="shared" si="276"/>
        <v>0</v>
      </c>
      <c r="I1289" s="70">
        <f t="shared" si="275"/>
        <v>449.5</v>
      </c>
      <c r="J1289" s="70">
        <f t="shared" si="276"/>
        <v>0</v>
      </c>
      <c r="K1289" s="87">
        <f t="shared" si="271"/>
        <v>449.5</v>
      </c>
      <c r="L1289" s="13">
        <f t="shared" si="276"/>
        <v>0</v>
      </c>
      <c r="M1289" s="87">
        <f t="shared" si="268"/>
        <v>449.5</v>
      </c>
      <c r="N1289" s="13">
        <f t="shared" si="276"/>
        <v>0</v>
      </c>
      <c r="O1289" s="87">
        <f t="shared" si="269"/>
        <v>449.5</v>
      </c>
      <c r="P1289" s="13">
        <f t="shared" si="276"/>
        <v>0</v>
      </c>
      <c r="Q1289" s="87">
        <f t="shared" si="262"/>
        <v>449.5</v>
      </c>
      <c r="R1289" s="13">
        <f t="shared" si="276"/>
        <v>0</v>
      </c>
      <c r="S1289" s="87">
        <f t="shared" si="261"/>
        <v>449.5</v>
      </c>
    </row>
    <row r="1290" spans="1:19" ht="12.75">
      <c r="A1290" s="62" t="str">
        <f ca="1">IF(ISERROR(MATCH(F1290,Код_КВР,0)),"",INDIRECT(ADDRESS(MATCH(F1290,Код_КВР,0)+1,2,,,"КВР")))</f>
        <v>Социальное обеспечение и иные выплаты населению</v>
      </c>
      <c r="B1290" s="115">
        <v>810</v>
      </c>
      <c r="C1290" s="8" t="s">
        <v>196</v>
      </c>
      <c r="D1290" s="8" t="s">
        <v>223</v>
      </c>
      <c r="E1290" s="115" t="s">
        <v>20</v>
      </c>
      <c r="F1290" s="115">
        <v>300</v>
      </c>
      <c r="G1290" s="70">
        <f t="shared" si="276"/>
        <v>449.5</v>
      </c>
      <c r="H1290" s="70">
        <f t="shared" si="276"/>
        <v>0</v>
      </c>
      <c r="I1290" s="70">
        <f t="shared" si="275"/>
        <v>449.5</v>
      </c>
      <c r="J1290" s="70">
        <f t="shared" si="276"/>
        <v>0</v>
      </c>
      <c r="K1290" s="87">
        <f t="shared" si="271"/>
        <v>449.5</v>
      </c>
      <c r="L1290" s="13">
        <f t="shared" si="276"/>
        <v>0</v>
      </c>
      <c r="M1290" s="87">
        <f t="shared" si="268"/>
        <v>449.5</v>
      </c>
      <c r="N1290" s="13">
        <f t="shared" si="276"/>
        <v>0</v>
      </c>
      <c r="O1290" s="87">
        <f t="shared" si="269"/>
        <v>449.5</v>
      </c>
      <c r="P1290" s="13">
        <f t="shared" si="276"/>
        <v>0</v>
      </c>
      <c r="Q1290" s="87">
        <f t="shared" si="262"/>
        <v>449.5</v>
      </c>
      <c r="R1290" s="13">
        <f t="shared" si="276"/>
        <v>0</v>
      </c>
      <c r="S1290" s="87">
        <f t="shared" si="261"/>
        <v>449.5</v>
      </c>
    </row>
    <row r="1291" spans="1:19" ht="12.75">
      <c r="A1291" s="62" t="str">
        <f ca="1">IF(ISERROR(MATCH(F1291,Код_КВР,0)),"",INDIRECT(ADDRESS(MATCH(F1291,Код_КВР,0)+1,2,,,"КВР")))</f>
        <v>Публичные нормативные социальные выплаты гражданам</v>
      </c>
      <c r="B1291" s="115">
        <v>810</v>
      </c>
      <c r="C1291" s="8" t="s">
        <v>196</v>
      </c>
      <c r="D1291" s="8" t="s">
        <v>223</v>
      </c>
      <c r="E1291" s="115" t="s">
        <v>20</v>
      </c>
      <c r="F1291" s="115">
        <v>310</v>
      </c>
      <c r="G1291" s="70">
        <f t="shared" si="276"/>
        <v>449.5</v>
      </c>
      <c r="H1291" s="70">
        <f t="shared" si="276"/>
        <v>0</v>
      </c>
      <c r="I1291" s="70">
        <f t="shared" si="275"/>
        <v>449.5</v>
      </c>
      <c r="J1291" s="70">
        <f t="shared" si="276"/>
        <v>0</v>
      </c>
      <c r="K1291" s="87">
        <f t="shared" si="271"/>
        <v>449.5</v>
      </c>
      <c r="L1291" s="13">
        <f t="shared" si="276"/>
        <v>0</v>
      </c>
      <c r="M1291" s="87">
        <f t="shared" si="268"/>
        <v>449.5</v>
      </c>
      <c r="N1291" s="13">
        <f t="shared" si="276"/>
        <v>0</v>
      </c>
      <c r="O1291" s="87">
        <f t="shared" si="269"/>
        <v>449.5</v>
      </c>
      <c r="P1291" s="13">
        <f t="shared" si="276"/>
        <v>0</v>
      </c>
      <c r="Q1291" s="87">
        <f t="shared" si="262"/>
        <v>449.5</v>
      </c>
      <c r="R1291" s="13">
        <f t="shared" si="276"/>
        <v>0</v>
      </c>
      <c r="S1291" s="87">
        <f t="shared" si="261"/>
        <v>449.5</v>
      </c>
    </row>
    <row r="1292" spans="1:19" ht="33">
      <c r="A1292" s="62" t="str">
        <f ca="1">IF(ISERROR(MATCH(F1292,Код_КВР,0)),"",INDIRECT(ADDRESS(MATCH(F1292,Код_КВР,0)+1,2,,,"КВР")))</f>
        <v>Пособия, компенсации, меры социальной поддержки по публичным нормативным обязательствам</v>
      </c>
      <c r="B1292" s="115">
        <v>810</v>
      </c>
      <c r="C1292" s="8" t="s">
        <v>196</v>
      </c>
      <c r="D1292" s="8" t="s">
        <v>223</v>
      </c>
      <c r="E1292" s="115" t="s">
        <v>20</v>
      </c>
      <c r="F1292" s="115">
        <v>313</v>
      </c>
      <c r="G1292" s="70">
        <v>449.5</v>
      </c>
      <c r="H1292" s="70"/>
      <c r="I1292" s="70">
        <f t="shared" si="275"/>
        <v>449.5</v>
      </c>
      <c r="J1292" s="70"/>
      <c r="K1292" s="87">
        <f t="shared" si="271"/>
        <v>449.5</v>
      </c>
      <c r="L1292" s="13"/>
      <c r="M1292" s="87">
        <f t="shared" si="268"/>
        <v>449.5</v>
      </c>
      <c r="N1292" s="13"/>
      <c r="O1292" s="87">
        <f t="shared" si="269"/>
        <v>449.5</v>
      </c>
      <c r="P1292" s="13"/>
      <c r="Q1292" s="87">
        <f t="shared" si="262"/>
        <v>449.5</v>
      </c>
      <c r="R1292" s="13"/>
      <c r="S1292" s="87">
        <f aca="true" t="shared" si="277" ref="S1292:S1364">Q1292+R1292</f>
        <v>449.5</v>
      </c>
    </row>
    <row r="1293" spans="1:19" s="94" customFormat="1" ht="142.7" customHeight="1">
      <c r="A1293" s="62" t="str">
        <f ca="1">IF(ISERROR(MATCH(E1293,Код_КЦСР,0)),"",INDIRECT(ADDRESS(MATCH(E1293,Код_КЦСР,0)+1,2,,,"КЦСР")))</f>
        <v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v>
      </c>
      <c r="B1293" s="115">
        <v>810</v>
      </c>
      <c r="C1293" s="8" t="s">
        <v>196</v>
      </c>
      <c r="D1293" s="8" t="s">
        <v>223</v>
      </c>
      <c r="E1293" s="115" t="s">
        <v>640</v>
      </c>
      <c r="F1293" s="115"/>
      <c r="G1293" s="70"/>
      <c r="H1293" s="70"/>
      <c r="I1293" s="70"/>
      <c r="J1293" s="70"/>
      <c r="K1293" s="87"/>
      <c r="L1293" s="13"/>
      <c r="M1293" s="87"/>
      <c r="N1293" s="13">
        <f>N1294</f>
        <v>432</v>
      </c>
      <c r="O1293" s="87">
        <f t="shared" si="269"/>
        <v>432</v>
      </c>
      <c r="P1293" s="13">
        <f>P1294</f>
        <v>0</v>
      </c>
      <c r="Q1293" s="87">
        <f t="shared" si="262"/>
        <v>432</v>
      </c>
      <c r="R1293" s="13">
        <f>R1294</f>
        <v>0</v>
      </c>
      <c r="S1293" s="87">
        <f t="shared" si="277"/>
        <v>432</v>
      </c>
    </row>
    <row r="1294" spans="1:19" s="94" customFormat="1" ht="142.7" customHeight="1">
      <c r="A1294" s="62" t="str">
        <f ca="1">IF(ISERROR(MATCH(E1294,Код_КЦСР,0)),"",INDIRECT(ADDRESS(MATCH(E1294,Код_КЦСР,0)+1,2,,,"КЦСР")))</f>
        <v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v>
      </c>
      <c r="B1294" s="115">
        <v>810</v>
      </c>
      <c r="C1294" s="8" t="s">
        <v>196</v>
      </c>
      <c r="D1294" s="8" t="s">
        <v>223</v>
      </c>
      <c r="E1294" s="115" t="s">
        <v>642</v>
      </c>
      <c r="F1294" s="115"/>
      <c r="G1294" s="70"/>
      <c r="H1294" s="70"/>
      <c r="I1294" s="70"/>
      <c r="J1294" s="70"/>
      <c r="K1294" s="87"/>
      <c r="L1294" s="13"/>
      <c r="M1294" s="87"/>
      <c r="N1294" s="13">
        <f>N1295</f>
        <v>432</v>
      </c>
      <c r="O1294" s="87">
        <f t="shared" si="269"/>
        <v>432</v>
      </c>
      <c r="P1294" s="13">
        <f>P1295</f>
        <v>0</v>
      </c>
      <c r="Q1294" s="87">
        <f t="shared" si="262"/>
        <v>432</v>
      </c>
      <c r="R1294" s="13">
        <f>R1295</f>
        <v>0</v>
      </c>
      <c r="S1294" s="87">
        <f t="shared" si="277"/>
        <v>432</v>
      </c>
    </row>
    <row r="1295" spans="1:19" s="94" customFormat="1" ht="23.25" customHeight="1">
      <c r="A1295" s="62" t="str">
        <f ca="1">IF(ISERROR(MATCH(F1295,Код_КВР,0)),"",INDIRECT(ADDRESS(MATCH(F1295,Код_КВР,0)+1,2,,,"КВР")))</f>
        <v>Социальное обеспечение и иные выплаты населению</v>
      </c>
      <c r="B1295" s="115">
        <v>810</v>
      </c>
      <c r="C1295" s="8" t="s">
        <v>196</v>
      </c>
      <c r="D1295" s="8" t="s">
        <v>223</v>
      </c>
      <c r="E1295" s="115" t="s">
        <v>642</v>
      </c>
      <c r="F1295" s="115">
        <v>300</v>
      </c>
      <c r="G1295" s="70"/>
      <c r="H1295" s="70"/>
      <c r="I1295" s="70"/>
      <c r="J1295" s="70"/>
      <c r="K1295" s="87"/>
      <c r="L1295" s="13"/>
      <c r="M1295" s="87"/>
      <c r="N1295" s="13">
        <f>N1296</f>
        <v>432</v>
      </c>
      <c r="O1295" s="87">
        <f t="shared" si="269"/>
        <v>432</v>
      </c>
      <c r="P1295" s="13">
        <f>P1296</f>
        <v>0</v>
      </c>
      <c r="Q1295" s="87">
        <f t="shared" si="262"/>
        <v>432</v>
      </c>
      <c r="R1295" s="13">
        <f>R1296</f>
        <v>0</v>
      </c>
      <c r="S1295" s="87">
        <f t="shared" si="277"/>
        <v>432</v>
      </c>
    </row>
    <row r="1296" spans="1:19" s="94" customFormat="1" ht="22.5" customHeight="1">
      <c r="A1296" s="62" t="str">
        <f ca="1">IF(ISERROR(MATCH(F1296,Код_КВР,0)),"",INDIRECT(ADDRESS(MATCH(F1296,Код_КВР,0)+1,2,,,"КВР")))</f>
        <v>Публичные нормативные социальные выплаты гражданам</v>
      </c>
      <c r="B1296" s="115">
        <v>810</v>
      </c>
      <c r="C1296" s="8" t="s">
        <v>196</v>
      </c>
      <c r="D1296" s="8" t="s">
        <v>223</v>
      </c>
      <c r="E1296" s="115" t="s">
        <v>642</v>
      </c>
      <c r="F1296" s="115">
        <v>310</v>
      </c>
      <c r="G1296" s="70"/>
      <c r="H1296" s="70"/>
      <c r="I1296" s="70"/>
      <c r="J1296" s="70"/>
      <c r="K1296" s="87"/>
      <c r="L1296" s="13"/>
      <c r="M1296" s="87"/>
      <c r="N1296" s="13">
        <f>N1297</f>
        <v>432</v>
      </c>
      <c r="O1296" s="87">
        <f t="shared" si="269"/>
        <v>432</v>
      </c>
      <c r="P1296" s="13">
        <f>P1297</f>
        <v>0</v>
      </c>
      <c r="Q1296" s="87">
        <f t="shared" si="262"/>
        <v>432</v>
      </c>
      <c r="R1296" s="13">
        <f>R1297</f>
        <v>0</v>
      </c>
      <c r="S1296" s="87">
        <f t="shared" si="277"/>
        <v>432</v>
      </c>
    </row>
    <row r="1297" spans="1:19" s="94" customFormat="1" ht="37.5" customHeight="1">
      <c r="A1297" s="62" t="str">
        <f ca="1">IF(ISERROR(MATCH(F1297,Код_КВР,0)),"",INDIRECT(ADDRESS(MATCH(F1297,Код_КВР,0)+1,2,,,"КВР")))</f>
        <v>Пособия, компенсации, меры социальной поддержки по публичным нормативным обязательствам</v>
      </c>
      <c r="B1297" s="115">
        <v>810</v>
      </c>
      <c r="C1297" s="8" t="s">
        <v>196</v>
      </c>
      <c r="D1297" s="8" t="s">
        <v>223</v>
      </c>
      <c r="E1297" s="115" t="s">
        <v>642</v>
      </c>
      <c r="F1297" s="115">
        <v>313</v>
      </c>
      <c r="G1297" s="70"/>
      <c r="H1297" s="70"/>
      <c r="I1297" s="70"/>
      <c r="J1297" s="70"/>
      <c r="K1297" s="87"/>
      <c r="L1297" s="13"/>
      <c r="M1297" s="87"/>
      <c r="N1297" s="13">
        <v>432</v>
      </c>
      <c r="O1297" s="87">
        <f t="shared" si="269"/>
        <v>432</v>
      </c>
      <c r="P1297" s="13"/>
      <c r="Q1297" s="87">
        <f t="shared" si="262"/>
        <v>432</v>
      </c>
      <c r="R1297" s="13"/>
      <c r="S1297" s="87">
        <f t="shared" si="277"/>
        <v>432</v>
      </c>
    </row>
    <row r="1298" spans="1:19" s="94" customFormat="1" ht="37.5" customHeight="1">
      <c r="A1298" s="62" t="str">
        <f ca="1">IF(ISERROR(MATCH(E1298,Код_КЦСР,0)),"",INDIRECT(ADDRESS(MATCH(E1298,Код_КЦСР,0)+1,2,,,"КЦСР")))</f>
        <v>Выплата единовременной социальной помощи в связи с рождением троих детей многодетным семьям</v>
      </c>
      <c r="B1298" s="139">
        <v>810</v>
      </c>
      <c r="C1298" s="8" t="s">
        <v>196</v>
      </c>
      <c r="D1298" s="8" t="s">
        <v>223</v>
      </c>
      <c r="E1298" s="139" t="s">
        <v>681</v>
      </c>
      <c r="F1298" s="139"/>
      <c r="G1298" s="70"/>
      <c r="H1298" s="70"/>
      <c r="I1298" s="70"/>
      <c r="J1298" s="70"/>
      <c r="K1298" s="87"/>
      <c r="L1298" s="13"/>
      <c r="M1298" s="87"/>
      <c r="N1298" s="13"/>
      <c r="O1298" s="87"/>
      <c r="P1298" s="13"/>
      <c r="Q1298" s="87"/>
      <c r="R1298" s="13">
        <f>R1299+R1303</f>
        <v>1000</v>
      </c>
      <c r="S1298" s="87">
        <f t="shared" si="277"/>
        <v>1000</v>
      </c>
    </row>
    <row r="1299" spans="1:19" s="94" customFormat="1" ht="54.75" customHeight="1">
      <c r="A1299" s="62" t="str">
        <f ca="1">IF(ISERROR(MATCH(E1299,Код_КЦСР,0)),"",INDIRECT(ADDRESS(MATCH(E1299,Код_КЦСР,0)+1,2,,,"КЦСР")))</f>
        <v>Выплата единовременной социальной помощи Степановой К.Н. в связи с рождением троих детей в соответствии с решением Череповецкой городской Думы</v>
      </c>
      <c r="B1299" s="139">
        <v>810</v>
      </c>
      <c r="C1299" s="8" t="s">
        <v>196</v>
      </c>
      <c r="D1299" s="8" t="s">
        <v>223</v>
      </c>
      <c r="E1299" s="139" t="s">
        <v>680</v>
      </c>
      <c r="F1299" s="139"/>
      <c r="G1299" s="70"/>
      <c r="H1299" s="70"/>
      <c r="I1299" s="70"/>
      <c r="J1299" s="70"/>
      <c r="K1299" s="87"/>
      <c r="L1299" s="13"/>
      <c r="M1299" s="87"/>
      <c r="N1299" s="13"/>
      <c r="O1299" s="87"/>
      <c r="P1299" s="13"/>
      <c r="Q1299" s="87"/>
      <c r="R1299" s="13">
        <f>R1300</f>
        <v>500</v>
      </c>
      <c r="S1299" s="87">
        <f t="shared" si="277"/>
        <v>500</v>
      </c>
    </row>
    <row r="1300" spans="1:19" s="94" customFormat="1" ht="27" customHeight="1">
      <c r="A1300" s="62" t="str">
        <f ca="1">IF(ISERROR(MATCH(F1300,Код_КВР,0)),"",INDIRECT(ADDRESS(MATCH(F1300,Код_КВР,0)+1,2,,,"КВР")))</f>
        <v>Социальное обеспечение и иные выплаты населению</v>
      </c>
      <c r="B1300" s="139">
        <v>810</v>
      </c>
      <c r="C1300" s="8" t="s">
        <v>196</v>
      </c>
      <c r="D1300" s="8" t="s">
        <v>223</v>
      </c>
      <c r="E1300" s="139" t="s">
        <v>680</v>
      </c>
      <c r="F1300" s="139">
        <v>300</v>
      </c>
      <c r="G1300" s="70"/>
      <c r="H1300" s="70"/>
      <c r="I1300" s="70"/>
      <c r="J1300" s="70"/>
      <c r="K1300" s="87"/>
      <c r="L1300" s="13"/>
      <c r="M1300" s="87"/>
      <c r="N1300" s="13"/>
      <c r="O1300" s="87"/>
      <c r="P1300" s="13"/>
      <c r="Q1300" s="87"/>
      <c r="R1300" s="13">
        <f>R1301</f>
        <v>500</v>
      </c>
      <c r="S1300" s="87">
        <f t="shared" si="277"/>
        <v>500</v>
      </c>
    </row>
    <row r="1301" spans="1:19" s="94" customFormat="1" ht="26.25" customHeight="1">
      <c r="A1301" s="62" t="str">
        <f ca="1">IF(ISERROR(MATCH(F1301,Код_КВР,0)),"",INDIRECT(ADDRESS(MATCH(F1301,Код_КВР,0)+1,2,,,"КВР")))</f>
        <v>Публичные нормативные социальные выплаты гражданам</v>
      </c>
      <c r="B1301" s="139">
        <v>810</v>
      </c>
      <c r="C1301" s="8" t="s">
        <v>196</v>
      </c>
      <c r="D1301" s="8" t="s">
        <v>223</v>
      </c>
      <c r="E1301" s="139" t="s">
        <v>680</v>
      </c>
      <c r="F1301" s="139">
        <v>310</v>
      </c>
      <c r="G1301" s="70"/>
      <c r="H1301" s="70"/>
      <c r="I1301" s="70"/>
      <c r="J1301" s="70"/>
      <c r="K1301" s="87"/>
      <c r="L1301" s="13"/>
      <c r="M1301" s="87"/>
      <c r="N1301" s="13"/>
      <c r="O1301" s="87"/>
      <c r="P1301" s="13"/>
      <c r="Q1301" s="87"/>
      <c r="R1301" s="13">
        <f>R1302</f>
        <v>500</v>
      </c>
      <c r="S1301" s="87">
        <f t="shared" si="277"/>
        <v>500</v>
      </c>
    </row>
    <row r="1302" spans="1:19" s="94" customFormat="1" ht="37.5" customHeight="1">
      <c r="A1302" s="62" t="str">
        <f ca="1">IF(ISERROR(MATCH(F1302,Код_КВР,0)),"",INDIRECT(ADDRESS(MATCH(F1302,Код_КВР,0)+1,2,,,"КВР")))</f>
        <v>Пособия, компенсации, меры социальной поддержки по публичным нормативным обязательствам</v>
      </c>
      <c r="B1302" s="139">
        <v>810</v>
      </c>
      <c r="C1302" s="8" t="s">
        <v>196</v>
      </c>
      <c r="D1302" s="8" t="s">
        <v>223</v>
      </c>
      <c r="E1302" s="139" t="s">
        <v>680</v>
      </c>
      <c r="F1302" s="139">
        <v>313</v>
      </c>
      <c r="G1302" s="70"/>
      <c r="H1302" s="70"/>
      <c r="I1302" s="70"/>
      <c r="J1302" s="70"/>
      <c r="K1302" s="87"/>
      <c r="L1302" s="13"/>
      <c r="M1302" s="87"/>
      <c r="N1302" s="13"/>
      <c r="O1302" s="87"/>
      <c r="P1302" s="13"/>
      <c r="Q1302" s="87"/>
      <c r="R1302" s="13">
        <v>500</v>
      </c>
      <c r="S1302" s="87">
        <f t="shared" si="277"/>
        <v>500</v>
      </c>
    </row>
    <row r="1303" spans="1:19" s="94" customFormat="1" ht="52.7" customHeight="1">
      <c r="A1303" s="62" t="str">
        <f ca="1">IF(ISERROR(MATCH(E1303,Код_КЦСР,0)),"",INDIRECT(ADDRESS(MATCH(E1303,Код_КЦСР,0)+1,2,,,"КЦСР")))</f>
        <v>Выплата единовременной социальной помощи Бовыкиной Я.А. в связи с рождением троих детей в соответствии с решением Череповецкой городской Думы</v>
      </c>
      <c r="B1303" s="139">
        <v>810</v>
      </c>
      <c r="C1303" s="8" t="s">
        <v>196</v>
      </c>
      <c r="D1303" s="8" t="s">
        <v>223</v>
      </c>
      <c r="E1303" s="139" t="s">
        <v>682</v>
      </c>
      <c r="F1303" s="139"/>
      <c r="G1303" s="70"/>
      <c r="H1303" s="70"/>
      <c r="I1303" s="70"/>
      <c r="J1303" s="70"/>
      <c r="K1303" s="87"/>
      <c r="L1303" s="13"/>
      <c r="M1303" s="87"/>
      <c r="N1303" s="13"/>
      <c r="O1303" s="87"/>
      <c r="P1303" s="13"/>
      <c r="Q1303" s="87"/>
      <c r="R1303" s="13">
        <f>R1304</f>
        <v>500</v>
      </c>
      <c r="S1303" s="87">
        <f t="shared" si="277"/>
        <v>500</v>
      </c>
    </row>
    <row r="1304" spans="1:19" s="94" customFormat="1" ht="24" customHeight="1">
      <c r="A1304" s="62" t="str">
        <f ca="1">IF(ISERROR(MATCH(F1304,Код_КВР,0)),"",INDIRECT(ADDRESS(MATCH(F1304,Код_КВР,0)+1,2,,,"КВР")))</f>
        <v>Социальное обеспечение и иные выплаты населению</v>
      </c>
      <c r="B1304" s="139">
        <v>810</v>
      </c>
      <c r="C1304" s="8" t="s">
        <v>196</v>
      </c>
      <c r="D1304" s="8" t="s">
        <v>223</v>
      </c>
      <c r="E1304" s="139" t="s">
        <v>682</v>
      </c>
      <c r="F1304" s="139">
        <v>300</v>
      </c>
      <c r="G1304" s="70"/>
      <c r="H1304" s="70"/>
      <c r="I1304" s="70"/>
      <c r="J1304" s="70"/>
      <c r="K1304" s="87"/>
      <c r="L1304" s="13"/>
      <c r="M1304" s="87"/>
      <c r="N1304" s="13"/>
      <c r="O1304" s="87"/>
      <c r="P1304" s="13"/>
      <c r="Q1304" s="87"/>
      <c r="R1304" s="13">
        <f>R1305</f>
        <v>500</v>
      </c>
      <c r="S1304" s="87">
        <f t="shared" si="277"/>
        <v>500</v>
      </c>
    </row>
    <row r="1305" spans="1:19" s="94" customFormat="1" ht="31.5" customHeight="1">
      <c r="A1305" s="62" t="str">
        <f ca="1">IF(ISERROR(MATCH(F1305,Код_КВР,0)),"",INDIRECT(ADDRESS(MATCH(F1305,Код_КВР,0)+1,2,,,"КВР")))</f>
        <v>Публичные нормативные социальные выплаты гражданам</v>
      </c>
      <c r="B1305" s="139">
        <v>810</v>
      </c>
      <c r="C1305" s="8" t="s">
        <v>196</v>
      </c>
      <c r="D1305" s="8" t="s">
        <v>223</v>
      </c>
      <c r="E1305" s="139" t="s">
        <v>682</v>
      </c>
      <c r="F1305" s="139">
        <v>310</v>
      </c>
      <c r="G1305" s="70"/>
      <c r="H1305" s="70"/>
      <c r="I1305" s="70"/>
      <c r="J1305" s="70"/>
      <c r="K1305" s="87"/>
      <c r="L1305" s="13"/>
      <c r="M1305" s="87"/>
      <c r="N1305" s="13"/>
      <c r="O1305" s="87"/>
      <c r="P1305" s="13"/>
      <c r="Q1305" s="87"/>
      <c r="R1305" s="13">
        <f>R1306</f>
        <v>500</v>
      </c>
      <c r="S1305" s="87">
        <f t="shared" si="277"/>
        <v>500</v>
      </c>
    </row>
    <row r="1306" spans="1:19" s="94" customFormat="1" ht="37.5" customHeight="1">
      <c r="A1306" s="62" t="str">
        <f ca="1">IF(ISERROR(MATCH(F1306,Код_КВР,0)),"",INDIRECT(ADDRESS(MATCH(F1306,Код_КВР,0)+1,2,,,"КВР")))</f>
        <v>Пособия, компенсации, меры социальной поддержки по публичным нормативным обязательствам</v>
      </c>
      <c r="B1306" s="139">
        <v>810</v>
      </c>
      <c r="C1306" s="8" t="s">
        <v>196</v>
      </c>
      <c r="D1306" s="8" t="s">
        <v>223</v>
      </c>
      <c r="E1306" s="139" t="s">
        <v>682</v>
      </c>
      <c r="F1306" s="139">
        <v>313</v>
      </c>
      <c r="G1306" s="70"/>
      <c r="H1306" s="70"/>
      <c r="I1306" s="70"/>
      <c r="J1306" s="70"/>
      <c r="K1306" s="87"/>
      <c r="L1306" s="13"/>
      <c r="M1306" s="87"/>
      <c r="N1306" s="13"/>
      <c r="O1306" s="87"/>
      <c r="P1306" s="13"/>
      <c r="Q1306" s="87"/>
      <c r="R1306" s="13">
        <v>500</v>
      </c>
      <c r="S1306" s="87">
        <f t="shared" si="277"/>
        <v>500</v>
      </c>
    </row>
    <row r="1307" spans="1:19" ht="36.75" customHeight="1">
      <c r="A1307" s="62" t="str">
        <f ca="1">IF(ISERROR(MATCH(E1307,Код_КЦСР,0)),"",INDIRECT(ADDRESS(MATCH(E1307,Код_КЦСР,0)+1,2,,,"КЦСР")))</f>
        <v>Социальная поддержка пенсионеров на условиях договора пожизненного содержания с иждивением</v>
      </c>
      <c r="B1307" s="115">
        <v>810</v>
      </c>
      <c r="C1307" s="8" t="s">
        <v>196</v>
      </c>
      <c r="D1307" s="8" t="s">
        <v>223</v>
      </c>
      <c r="E1307" s="115" t="s">
        <v>21</v>
      </c>
      <c r="F1307" s="115"/>
      <c r="G1307" s="70">
        <f aca="true" t="shared" si="278" ref="G1307:R1317">G1308</f>
        <v>14888.699999999999</v>
      </c>
      <c r="H1307" s="70">
        <f t="shared" si="278"/>
        <v>0</v>
      </c>
      <c r="I1307" s="70">
        <f t="shared" si="275"/>
        <v>14888.699999999999</v>
      </c>
      <c r="J1307" s="70">
        <f t="shared" si="278"/>
        <v>0</v>
      </c>
      <c r="K1307" s="87">
        <f t="shared" si="271"/>
        <v>14888.699999999999</v>
      </c>
      <c r="L1307" s="13">
        <f t="shared" si="278"/>
        <v>0</v>
      </c>
      <c r="M1307" s="87">
        <f t="shared" si="268"/>
        <v>14888.699999999999</v>
      </c>
      <c r="N1307" s="13">
        <f t="shared" si="278"/>
        <v>0</v>
      </c>
      <c r="O1307" s="87">
        <f t="shared" si="269"/>
        <v>14888.699999999999</v>
      </c>
      <c r="P1307" s="13">
        <f t="shared" si="278"/>
        <v>0</v>
      </c>
      <c r="Q1307" s="87">
        <f aca="true" t="shared" si="279" ref="Q1307:Q1373">O1307+P1307</f>
        <v>14888.699999999999</v>
      </c>
      <c r="R1307" s="13">
        <f t="shared" si="278"/>
        <v>0</v>
      </c>
      <c r="S1307" s="87">
        <f t="shared" si="277"/>
        <v>14888.699999999999</v>
      </c>
    </row>
    <row r="1308" spans="1:19" ht="12.75">
      <c r="A1308" s="62" t="str">
        <f ca="1">IF(ISERROR(MATCH(F1308,Код_КВР,0)),"",INDIRECT(ADDRESS(MATCH(F1308,Код_КВР,0)+1,2,,,"КВР")))</f>
        <v>Социальное обеспечение и иные выплаты населению</v>
      </c>
      <c r="B1308" s="115">
        <v>810</v>
      </c>
      <c r="C1308" s="8" t="s">
        <v>196</v>
      </c>
      <c r="D1308" s="8" t="s">
        <v>223</v>
      </c>
      <c r="E1308" s="115" t="s">
        <v>21</v>
      </c>
      <c r="F1308" s="115">
        <v>300</v>
      </c>
      <c r="G1308" s="70">
        <f t="shared" si="278"/>
        <v>14888.699999999999</v>
      </c>
      <c r="H1308" s="70">
        <f t="shared" si="278"/>
        <v>0</v>
      </c>
      <c r="I1308" s="70">
        <f t="shared" si="275"/>
        <v>14888.699999999999</v>
      </c>
      <c r="J1308" s="70">
        <f t="shared" si="278"/>
        <v>0</v>
      </c>
      <c r="K1308" s="87">
        <f t="shared" si="271"/>
        <v>14888.699999999999</v>
      </c>
      <c r="L1308" s="13">
        <f t="shared" si="278"/>
        <v>0</v>
      </c>
      <c r="M1308" s="87">
        <f t="shared" si="268"/>
        <v>14888.699999999999</v>
      </c>
      <c r="N1308" s="13">
        <f t="shared" si="278"/>
        <v>0</v>
      </c>
      <c r="O1308" s="87">
        <f t="shared" si="269"/>
        <v>14888.699999999999</v>
      </c>
      <c r="P1308" s="13">
        <f t="shared" si="278"/>
        <v>0</v>
      </c>
      <c r="Q1308" s="87">
        <f t="shared" si="279"/>
        <v>14888.699999999999</v>
      </c>
      <c r="R1308" s="13">
        <f t="shared" si="278"/>
        <v>0</v>
      </c>
      <c r="S1308" s="87">
        <f t="shared" si="277"/>
        <v>14888.699999999999</v>
      </c>
    </row>
    <row r="1309" spans="1:19" ht="33">
      <c r="A1309" s="62" t="str">
        <f ca="1">IF(ISERROR(MATCH(F1309,Код_КВР,0)),"",INDIRECT(ADDRESS(MATCH(F1309,Код_КВР,0)+1,2,,,"КВР")))</f>
        <v>Социальные выплаты гражданам, кроме публичных нормативных социальных выплат</v>
      </c>
      <c r="B1309" s="115">
        <v>810</v>
      </c>
      <c r="C1309" s="8" t="s">
        <v>196</v>
      </c>
      <c r="D1309" s="8" t="s">
        <v>223</v>
      </c>
      <c r="E1309" s="115" t="s">
        <v>21</v>
      </c>
      <c r="F1309" s="115">
        <v>320</v>
      </c>
      <c r="G1309" s="70">
        <f>SUM(G1310:G1311)</f>
        <v>14888.699999999999</v>
      </c>
      <c r="H1309" s="70">
        <f>SUM(H1310:H1311)</f>
        <v>0</v>
      </c>
      <c r="I1309" s="70">
        <f t="shared" si="275"/>
        <v>14888.699999999999</v>
      </c>
      <c r="J1309" s="70">
        <f>SUM(J1310:J1311)</f>
        <v>0</v>
      </c>
      <c r="K1309" s="87">
        <f t="shared" si="271"/>
        <v>14888.699999999999</v>
      </c>
      <c r="L1309" s="13">
        <f>SUM(L1310:L1311)</f>
        <v>0</v>
      </c>
      <c r="M1309" s="87">
        <f t="shared" si="268"/>
        <v>14888.699999999999</v>
      </c>
      <c r="N1309" s="13">
        <f>SUM(N1310:N1311)</f>
        <v>0</v>
      </c>
      <c r="O1309" s="87">
        <f t="shared" si="269"/>
        <v>14888.699999999999</v>
      </c>
      <c r="P1309" s="13">
        <f>SUM(P1310:P1311)</f>
        <v>0</v>
      </c>
      <c r="Q1309" s="87">
        <f t="shared" si="279"/>
        <v>14888.699999999999</v>
      </c>
      <c r="R1309" s="13">
        <f>SUM(R1310:R1311)</f>
        <v>0</v>
      </c>
      <c r="S1309" s="87">
        <f t="shared" si="277"/>
        <v>14888.699999999999</v>
      </c>
    </row>
    <row r="1310" spans="1:19" ht="33">
      <c r="A1310" s="62" t="str">
        <f ca="1">IF(ISERROR(MATCH(F1310,Код_КВР,0)),"",INDIRECT(ADDRESS(MATCH(F1310,Код_КВР,0)+1,2,,,"КВР")))</f>
        <v>Пособия, компенсации и иные социальные выплаты гражданам, кроме публичных нормативных обязательств</v>
      </c>
      <c r="B1310" s="115">
        <v>810</v>
      </c>
      <c r="C1310" s="8" t="s">
        <v>196</v>
      </c>
      <c r="D1310" s="8" t="s">
        <v>223</v>
      </c>
      <c r="E1310" s="115" t="s">
        <v>21</v>
      </c>
      <c r="F1310" s="115">
        <v>321</v>
      </c>
      <c r="G1310" s="70">
        <v>12936.9</v>
      </c>
      <c r="H1310" s="70"/>
      <c r="I1310" s="70">
        <f t="shared" si="275"/>
        <v>12936.9</v>
      </c>
      <c r="J1310" s="70"/>
      <c r="K1310" s="87">
        <f t="shared" si="271"/>
        <v>12936.9</v>
      </c>
      <c r="L1310" s="13"/>
      <c r="M1310" s="87">
        <f t="shared" si="268"/>
        <v>12936.9</v>
      </c>
      <c r="N1310" s="13"/>
      <c r="O1310" s="87">
        <f t="shared" si="269"/>
        <v>12936.9</v>
      </c>
      <c r="P1310" s="13"/>
      <c r="Q1310" s="87">
        <f t="shared" si="279"/>
        <v>12936.9</v>
      </c>
      <c r="R1310" s="13"/>
      <c r="S1310" s="87">
        <f t="shared" si="277"/>
        <v>12936.9</v>
      </c>
    </row>
    <row r="1311" spans="1:19" ht="33">
      <c r="A1311" s="62" t="str">
        <f ca="1">IF(ISERROR(MATCH(F1311,Код_КВР,0)),"",INDIRECT(ADDRESS(MATCH(F1311,Код_КВР,0)+1,2,,,"КВР")))</f>
        <v>Приобретение товаров, работ, услуг в пользу граждан в целях их социального обеспечения</v>
      </c>
      <c r="B1311" s="115">
        <v>810</v>
      </c>
      <c r="C1311" s="8" t="s">
        <v>196</v>
      </c>
      <c r="D1311" s="8" t="s">
        <v>223</v>
      </c>
      <c r="E1311" s="115" t="s">
        <v>21</v>
      </c>
      <c r="F1311" s="115">
        <v>323</v>
      </c>
      <c r="G1311" s="70">
        <v>1951.8</v>
      </c>
      <c r="H1311" s="70"/>
      <c r="I1311" s="70">
        <f t="shared" si="275"/>
        <v>1951.8</v>
      </c>
      <c r="J1311" s="70"/>
      <c r="K1311" s="87">
        <f t="shared" si="271"/>
        <v>1951.8</v>
      </c>
      <c r="L1311" s="13"/>
      <c r="M1311" s="87">
        <f t="shared" si="268"/>
        <v>1951.8</v>
      </c>
      <c r="N1311" s="13"/>
      <c r="O1311" s="87">
        <f t="shared" si="269"/>
        <v>1951.8</v>
      </c>
      <c r="P1311" s="13"/>
      <c r="Q1311" s="87">
        <f t="shared" si="279"/>
        <v>1951.8</v>
      </c>
      <c r="R1311" s="13"/>
      <c r="S1311" s="87">
        <f t="shared" si="277"/>
        <v>1951.8</v>
      </c>
    </row>
    <row r="1312" spans="1:19" ht="33">
      <c r="A1312" s="62" t="str">
        <f ca="1">IF(ISERROR(MATCH(E1312,Код_КЦСР,0)),"",INDIRECT(ADDRESS(MATCH(E1312,Код_КЦСР,0)+1,2,,,"КЦСР")))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12" s="115">
        <v>810</v>
      </c>
      <c r="C1312" s="8" t="s">
        <v>196</v>
      </c>
      <c r="D1312" s="8" t="s">
        <v>223</v>
      </c>
      <c r="E1312" s="115" t="s">
        <v>419</v>
      </c>
      <c r="F1312" s="115"/>
      <c r="G1312" s="70">
        <f t="shared" si="278"/>
        <v>277578.3</v>
      </c>
      <c r="H1312" s="70">
        <f t="shared" si="278"/>
        <v>0</v>
      </c>
      <c r="I1312" s="70">
        <f t="shared" si="275"/>
        <v>277578.3</v>
      </c>
      <c r="J1312" s="70">
        <f t="shared" si="278"/>
        <v>0</v>
      </c>
      <c r="K1312" s="87">
        <f t="shared" si="271"/>
        <v>277578.3</v>
      </c>
      <c r="L1312" s="13">
        <f t="shared" si="278"/>
        <v>0</v>
      </c>
      <c r="M1312" s="87">
        <f t="shared" si="268"/>
        <v>277578.3</v>
      </c>
      <c r="N1312" s="13">
        <f t="shared" si="278"/>
        <v>0</v>
      </c>
      <c r="O1312" s="87">
        <f t="shared" si="269"/>
        <v>277578.3</v>
      </c>
      <c r="P1312" s="13">
        <f t="shared" si="278"/>
        <v>0</v>
      </c>
      <c r="Q1312" s="87">
        <f t="shared" si="279"/>
        <v>277578.3</v>
      </c>
      <c r="R1312" s="13">
        <f t="shared" si="278"/>
        <v>0</v>
      </c>
      <c r="S1312" s="87">
        <f t="shared" si="277"/>
        <v>277578.3</v>
      </c>
    </row>
    <row r="1313" spans="1:19" ht="12.75">
      <c r="A1313" s="62" t="str">
        <f ca="1">IF(ISERROR(MATCH(F1313,Код_КВР,0)),"",INDIRECT(ADDRESS(MATCH(F1313,Код_КВР,0)+1,2,,,"КВР")))</f>
        <v>Социальное обеспечение и иные выплаты населению</v>
      </c>
      <c r="B1313" s="115">
        <v>810</v>
      </c>
      <c r="C1313" s="8" t="s">
        <v>196</v>
      </c>
      <c r="D1313" s="8" t="s">
        <v>223</v>
      </c>
      <c r="E1313" s="115" t="s">
        <v>419</v>
      </c>
      <c r="F1313" s="115">
        <v>300</v>
      </c>
      <c r="G1313" s="70">
        <f t="shared" si="278"/>
        <v>277578.3</v>
      </c>
      <c r="H1313" s="70">
        <f t="shared" si="278"/>
        <v>0</v>
      </c>
      <c r="I1313" s="70">
        <f t="shared" si="275"/>
        <v>277578.3</v>
      </c>
      <c r="J1313" s="70">
        <f t="shared" si="278"/>
        <v>0</v>
      </c>
      <c r="K1313" s="87">
        <f t="shared" si="271"/>
        <v>277578.3</v>
      </c>
      <c r="L1313" s="13">
        <f t="shared" si="278"/>
        <v>0</v>
      </c>
      <c r="M1313" s="87">
        <f t="shared" si="268"/>
        <v>277578.3</v>
      </c>
      <c r="N1313" s="13">
        <f t="shared" si="278"/>
        <v>0</v>
      </c>
      <c r="O1313" s="87">
        <f t="shared" si="269"/>
        <v>277578.3</v>
      </c>
      <c r="P1313" s="13">
        <f t="shared" si="278"/>
        <v>0</v>
      </c>
      <c r="Q1313" s="87">
        <f t="shared" si="279"/>
        <v>277578.3</v>
      </c>
      <c r="R1313" s="13">
        <f t="shared" si="278"/>
        <v>0</v>
      </c>
      <c r="S1313" s="87">
        <f t="shared" si="277"/>
        <v>277578.3</v>
      </c>
    </row>
    <row r="1314" spans="1:19" ht="33">
      <c r="A1314" s="62" t="str">
        <f ca="1">IF(ISERROR(MATCH(F1314,Код_КВР,0)),"",INDIRECT(ADDRESS(MATCH(F1314,Код_КВР,0)+1,2,,,"КВР")))</f>
        <v>Социальные выплаты гражданам, кроме публичных нормативных социальных выплат</v>
      </c>
      <c r="B1314" s="115">
        <v>810</v>
      </c>
      <c r="C1314" s="8" t="s">
        <v>196</v>
      </c>
      <c r="D1314" s="8" t="s">
        <v>223</v>
      </c>
      <c r="E1314" s="115" t="s">
        <v>419</v>
      </c>
      <c r="F1314" s="115">
        <v>320</v>
      </c>
      <c r="G1314" s="70">
        <f t="shared" si="278"/>
        <v>277578.3</v>
      </c>
      <c r="H1314" s="70">
        <f t="shared" si="278"/>
        <v>0</v>
      </c>
      <c r="I1314" s="70">
        <f t="shared" si="275"/>
        <v>277578.3</v>
      </c>
      <c r="J1314" s="70">
        <f t="shared" si="278"/>
        <v>0</v>
      </c>
      <c r="K1314" s="87">
        <f t="shared" si="271"/>
        <v>277578.3</v>
      </c>
      <c r="L1314" s="13">
        <f t="shared" si="278"/>
        <v>0</v>
      </c>
      <c r="M1314" s="87">
        <f t="shared" si="268"/>
        <v>277578.3</v>
      </c>
      <c r="N1314" s="13">
        <f t="shared" si="278"/>
        <v>0</v>
      </c>
      <c r="O1314" s="87">
        <f t="shared" si="269"/>
        <v>277578.3</v>
      </c>
      <c r="P1314" s="13">
        <f t="shared" si="278"/>
        <v>0</v>
      </c>
      <c r="Q1314" s="87">
        <f t="shared" si="279"/>
        <v>277578.3</v>
      </c>
      <c r="R1314" s="13">
        <f t="shared" si="278"/>
        <v>0</v>
      </c>
      <c r="S1314" s="87">
        <f t="shared" si="277"/>
        <v>277578.3</v>
      </c>
    </row>
    <row r="1315" spans="1:19" ht="33">
      <c r="A1315" s="62" t="str">
        <f ca="1">IF(ISERROR(MATCH(F1315,Код_КВР,0)),"",INDIRECT(ADDRESS(MATCH(F1315,Код_КВР,0)+1,2,,,"КВР")))</f>
        <v>Пособия, компенсации и иные социальные выплаты гражданам, кроме публичных нормативных обязательств</v>
      </c>
      <c r="B1315" s="115">
        <v>810</v>
      </c>
      <c r="C1315" s="8" t="s">
        <v>196</v>
      </c>
      <c r="D1315" s="8" t="s">
        <v>223</v>
      </c>
      <c r="E1315" s="115" t="s">
        <v>419</v>
      </c>
      <c r="F1315" s="115">
        <v>321</v>
      </c>
      <c r="G1315" s="70">
        <v>277578.3</v>
      </c>
      <c r="H1315" s="70"/>
      <c r="I1315" s="70">
        <f t="shared" si="275"/>
        <v>277578.3</v>
      </c>
      <c r="J1315" s="70"/>
      <c r="K1315" s="87">
        <f t="shared" si="271"/>
        <v>277578.3</v>
      </c>
      <c r="L1315" s="13"/>
      <c r="M1315" s="87">
        <f t="shared" si="268"/>
        <v>277578.3</v>
      </c>
      <c r="N1315" s="13"/>
      <c r="O1315" s="87">
        <f t="shared" si="269"/>
        <v>277578.3</v>
      </c>
      <c r="P1315" s="13"/>
      <c r="Q1315" s="87">
        <f t="shared" si="279"/>
        <v>277578.3</v>
      </c>
      <c r="R1315" s="13"/>
      <c r="S1315" s="87">
        <f t="shared" si="277"/>
        <v>277578.3</v>
      </c>
    </row>
    <row r="1316" spans="1:19" ht="82.5">
      <c r="A1316" s="62" t="str">
        <f ca="1">IF(ISERROR(MATCH(E1316,Код_КЦСР,0)),"",INDIRECT(ADDRESS(MATCH(E1316,Код_КЦСР,0)+1,2,,,"КЦСР")))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16" s="115">
        <v>810</v>
      </c>
      <c r="C1316" s="8" t="s">
        <v>196</v>
      </c>
      <c r="D1316" s="8" t="s">
        <v>223</v>
      </c>
      <c r="E1316" s="115" t="s">
        <v>414</v>
      </c>
      <c r="F1316" s="115"/>
      <c r="G1316" s="70">
        <f t="shared" si="278"/>
        <v>336360.6</v>
      </c>
      <c r="H1316" s="70">
        <f t="shared" si="278"/>
        <v>0</v>
      </c>
      <c r="I1316" s="70">
        <f t="shared" si="275"/>
        <v>336360.6</v>
      </c>
      <c r="J1316" s="70">
        <f t="shared" si="278"/>
        <v>0</v>
      </c>
      <c r="K1316" s="87">
        <f t="shared" si="271"/>
        <v>336360.6</v>
      </c>
      <c r="L1316" s="13">
        <f t="shared" si="278"/>
        <v>0</v>
      </c>
      <c r="M1316" s="87">
        <f t="shared" si="268"/>
        <v>336360.6</v>
      </c>
      <c r="N1316" s="13">
        <f t="shared" si="278"/>
        <v>0</v>
      </c>
      <c r="O1316" s="87">
        <f t="shared" si="269"/>
        <v>336360.6</v>
      </c>
      <c r="P1316" s="13">
        <f t="shared" si="278"/>
        <v>-365.3</v>
      </c>
      <c r="Q1316" s="87">
        <f t="shared" si="279"/>
        <v>335995.3</v>
      </c>
      <c r="R1316" s="13">
        <f t="shared" si="278"/>
        <v>65966.9</v>
      </c>
      <c r="S1316" s="87">
        <f t="shared" si="277"/>
        <v>401962.19999999995</v>
      </c>
    </row>
    <row r="1317" spans="1:19" ht="12.75">
      <c r="A1317" s="62" t="str">
        <f ca="1">IF(ISERROR(MATCH(F1317,Код_КВР,0)),"",INDIRECT(ADDRESS(MATCH(F1317,Код_КВР,0)+1,2,,,"КВР")))</f>
        <v>Социальное обеспечение и иные выплаты населению</v>
      </c>
      <c r="B1317" s="115">
        <v>810</v>
      </c>
      <c r="C1317" s="8" t="s">
        <v>196</v>
      </c>
      <c r="D1317" s="8" t="s">
        <v>223</v>
      </c>
      <c r="E1317" s="115" t="s">
        <v>414</v>
      </c>
      <c r="F1317" s="115">
        <v>300</v>
      </c>
      <c r="G1317" s="70">
        <f t="shared" si="278"/>
        <v>336360.6</v>
      </c>
      <c r="H1317" s="70">
        <f t="shared" si="278"/>
        <v>0</v>
      </c>
      <c r="I1317" s="70">
        <f t="shared" si="275"/>
        <v>336360.6</v>
      </c>
      <c r="J1317" s="70">
        <f t="shared" si="278"/>
        <v>0</v>
      </c>
      <c r="K1317" s="87">
        <f t="shared" si="271"/>
        <v>336360.6</v>
      </c>
      <c r="L1317" s="13">
        <f t="shared" si="278"/>
        <v>0</v>
      </c>
      <c r="M1317" s="87">
        <f t="shared" si="268"/>
        <v>336360.6</v>
      </c>
      <c r="N1317" s="13">
        <f t="shared" si="278"/>
        <v>0</v>
      </c>
      <c r="O1317" s="87">
        <f t="shared" si="269"/>
        <v>336360.6</v>
      </c>
      <c r="P1317" s="13">
        <f t="shared" si="278"/>
        <v>-365.3</v>
      </c>
      <c r="Q1317" s="87">
        <f t="shared" si="279"/>
        <v>335995.3</v>
      </c>
      <c r="R1317" s="13">
        <f t="shared" si="278"/>
        <v>65966.9</v>
      </c>
      <c r="S1317" s="87">
        <f t="shared" si="277"/>
        <v>401962.19999999995</v>
      </c>
    </row>
    <row r="1318" spans="1:19" ht="33">
      <c r="A1318" s="62" t="str">
        <f ca="1">IF(ISERROR(MATCH(F1318,Код_КВР,0)),"",INDIRECT(ADDRESS(MATCH(F1318,Код_КВР,0)+1,2,,,"КВР")))</f>
        <v>Социальные выплаты гражданам, кроме публичных нормативных социальных выплат</v>
      </c>
      <c r="B1318" s="115">
        <v>810</v>
      </c>
      <c r="C1318" s="8" t="s">
        <v>196</v>
      </c>
      <c r="D1318" s="8" t="s">
        <v>223</v>
      </c>
      <c r="E1318" s="115" t="s">
        <v>414</v>
      </c>
      <c r="F1318" s="115">
        <v>320</v>
      </c>
      <c r="G1318" s="70">
        <f>SUM(G1319:G1320)</f>
        <v>336360.6</v>
      </c>
      <c r="H1318" s="70">
        <f>SUM(H1319:H1320)</f>
        <v>0</v>
      </c>
      <c r="I1318" s="70">
        <f t="shared" si="275"/>
        <v>336360.6</v>
      </c>
      <c r="J1318" s="70">
        <f>SUM(J1319:J1320)</f>
        <v>0</v>
      </c>
      <c r="K1318" s="87">
        <f t="shared" si="271"/>
        <v>336360.6</v>
      </c>
      <c r="L1318" s="13">
        <f>SUM(L1319:L1320)</f>
        <v>0</v>
      </c>
      <c r="M1318" s="87">
        <f t="shared" si="268"/>
        <v>336360.6</v>
      </c>
      <c r="N1318" s="13">
        <f>SUM(N1319:N1320)</f>
        <v>0</v>
      </c>
      <c r="O1318" s="87">
        <f t="shared" si="269"/>
        <v>336360.6</v>
      </c>
      <c r="P1318" s="13">
        <f>SUM(P1319:P1320)</f>
        <v>-365.3</v>
      </c>
      <c r="Q1318" s="87">
        <f t="shared" si="279"/>
        <v>335995.3</v>
      </c>
      <c r="R1318" s="13">
        <f>SUM(R1319:R1320)</f>
        <v>65966.9</v>
      </c>
      <c r="S1318" s="87">
        <f t="shared" si="277"/>
        <v>401962.19999999995</v>
      </c>
    </row>
    <row r="1319" spans="1:19" ht="33">
      <c r="A1319" s="62" t="str">
        <f ca="1">IF(ISERROR(MATCH(F1319,Код_КВР,0)),"",INDIRECT(ADDRESS(MATCH(F1319,Код_КВР,0)+1,2,,,"КВР")))</f>
        <v>Пособия, компенсации и иные социальные выплаты гражданам, кроме публичных нормативных обязательств</v>
      </c>
      <c r="B1319" s="115">
        <v>810</v>
      </c>
      <c r="C1319" s="8" t="s">
        <v>196</v>
      </c>
      <c r="D1319" s="8" t="s">
        <v>223</v>
      </c>
      <c r="E1319" s="115" t="s">
        <v>414</v>
      </c>
      <c r="F1319" s="115">
        <v>321</v>
      </c>
      <c r="G1319" s="70">
        <f>326837+8000</f>
        <v>334837</v>
      </c>
      <c r="H1319" s="70"/>
      <c r="I1319" s="70">
        <f t="shared" si="275"/>
        <v>334837</v>
      </c>
      <c r="J1319" s="70"/>
      <c r="K1319" s="87">
        <f t="shared" si="271"/>
        <v>334837</v>
      </c>
      <c r="L1319" s="13"/>
      <c r="M1319" s="87">
        <f t="shared" si="268"/>
        <v>334837</v>
      </c>
      <c r="N1319" s="13"/>
      <c r="O1319" s="87">
        <f t="shared" si="269"/>
        <v>334837</v>
      </c>
      <c r="P1319" s="13">
        <v>-365.3</v>
      </c>
      <c r="Q1319" s="87">
        <f t="shared" si="279"/>
        <v>334471.7</v>
      </c>
      <c r="R1319" s="13">
        <f>-4382.1+220+70129</f>
        <v>65966.9</v>
      </c>
      <c r="S1319" s="87">
        <f t="shared" si="277"/>
        <v>400438.6</v>
      </c>
    </row>
    <row r="1320" spans="1:19" ht="33">
      <c r="A1320" s="62" t="str">
        <f ca="1">IF(ISERROR(MATCH(F1320,Код_КВР,0)),"",INDIRECT(ADDRESS(MATCH(F1320,Код_КВР,0)+1,2,,,"КВР")))</f>
        <v>Приобретение товаров, работ, услуг в пользу граждан в целях их социального обеспечения</v>
      </c>
      <c r="B1320" s="115">
        <v>810</v>
      </c>
      <c r="C1320" s="8" t="s">
        <v>196</v>
      </c>
      <c r="D1320" s="8" t="s">
        <v>223</v>
      </c>
      <c r="E1320" s="115" t="s">
        <v>414</v>
      </c>
      <c r="F1320" s="115">
        <v>323</v>
      </c>
      <c r="G1320" s="70">
        <f>999+524.6</f>
        <v>1523.6</v>
      </c>
      <c r="H1320" s="70"/>
      <c r="I1320" s="70">
        <f t="shared" si="275"/>
        <v>1523.6</v>
      </c>
      <c r="J1320" s="70"/>
      <c r="K1320" s="87">
        <f t="shared" si="271"/>
        <v>1523.6</v>
      </c>
      <c r="L1320" s="13"/>
      <c r="M1320" s="87">
        <f t="shared" si="268"/>
        <v>1523.6</v>
      </c>
      <c r="N1320" s="13"/>
      <c r="O1320" s="87">
        <f t="shared" si="269"/>
        <v>1523.6</v>
      </c>
      <c r="P1320" s="13"/>
      <c r="Q1320" s="87">
        <f t="shared" si="279"/>
        <v>1523.6</v>
      </c>
      <c r="R1320" s="13"/>
      <c r="S1320" s="87">
        <f t="shared" si="277"/>
        <v>1523.6</v>
      </c>
    </row>
    <row r="1321" spans="1:19" ht="12.75">
      <c r="A1321" s="12" t="s">
        <v>197</v>
      </c>
      <c r="B1321" s="115">
        <v>810</v>
      </c>
      <c r="C1321" s="8" t="s">
        <v>196</v>
      </c>
      <c r="D1321" s="8" t="s">
        <v>225</v>
      </c>
      <c r="E1321" s="115"/>
      <c r="F1321" s="115"/>
      <c r="G1321" s="70">
        <f>G1322+G1331+G1345</f>
        <v>54890.90000000001</v>
      </c>
      <c r="H1321" s="70">
        <f>H1322+H1331+H1345</f>
        <v>0</v>
      </c>
      <c r="I1321" s="70">
        <f t="shared" si="275"/>
        <v>54890.90000000001</v>
      </c>
      <c r="J1321" s="70">
        <f>J1322+J1331+J1345</f>
        <v>-718.2</v>
      </c>
      <c r="K1321" s="87">
        <f t="shared" si="271"/>
        <v>54172.70000000001</v>
      </c>
      <c r="L1321" s="13">
        <f>L1322+L1331+L1345</f>
        <v>0</v>
      </c>
      <c r="M1321" s="87">
        <f t="shared" si="268"/>
        <v>54172.70000000001</v>
      </c>
      <c r="N1321" s="13">
        <f>N1322+N1331+N1345</f>
        <v>0</v>
      </c>
      <c r="O1321" s="87">
        <f t="shared" si="269"/>
        <v>54172.70000000001</v>
      </c>
      <c r="P1321" s="13">
        <f>P1322+P1331+P1345</f>
        <v>0</v>
      </c>
      <c r="Q1321" s="87">
        <f t="shared" si="279"/>
        <v>54172.70000000001</v>
      </c>
      <c r="R1321" s="13">
        <f>R1322+R1331+R1345</f>
        <v>-1890.5000000000002</v>
      </c>
      <c r="S1321" s="87">
        <f t="shared" si="277"/>
        <v>52282.20000000001</v>
      </c>
    </row>
    <row r="1322" spans="1:19" ht="12.75">
      <c r="A1322" s="62" t="str">
        <f ca="1">IF(ISERROR(MATCH(E1322,Код_КЦСР,0)),"",INDIRECT(ADDRESS(MATCH(E1322,Код_КЦСР,0)+1,2,,,"КЦСР")))</f>
        <v>Муниципальная программа «Здоровый город» на 2014-2022 годы</v>
      </c>
      <c r="B1322" s="115">
        <v>810</v>
      </c>
      <c r="C1322" s="8" t="s">
        <v>196</v>
      </c>
      <c r="D1322" s="8" t="s">
        <v>225</v>
      </c>
      <c r="E1322" s="115" t="s">
        <v>579</v>
      </c>
      <c r="F1322" s="115"/>
      <c r="G1322" s="70">
        <f>G1323+G1327</f>
        <v>50</v>
      </c>
      <c r="H1322" s="70">
        <f>H1323+H1327</f>
        <v>0</v>
      </c>
      <c r="I1322" s="70">
        <f t="shared" si="275"/>
        <v>50</v>
      </c>
      <c r="J1322" s="70">
        <f>J1323+J1327</f>
        <v>0</v>
      </c>
      <c r="K1322" s="87">
        <f t="shared" si="271"/>
        <v>50</v>
      </c>
      <c r="L1322" s="13">
        <f>L1323+L1327</f>
        <v>0</v>
      </c>
      <c r="M1322" s="87">
        <f t="shared" si="268"/>
        <v>50</v>
      </c>
      <c r="N1322" s="13">
        <f>N1323+N1327</f>
        <v>0</v>
      </c>
      <c r="O1322" s="87">
        <f t="shared" si="269"/>
        <v>50</v>
      </c>
      <c r="P1322" s="13">
        <f>P1323+P1327</f>
        <v>0</v>
      </c>
      <c r="Q1322" s="87">
        <f t="shared" si="279"/>
        <v>50</v>
      </c>
      <c r="R1322" s="13">
        <f>R1323+R1327</f>
        <v>0</v>
      </c>
      <c r="S1322" s="87">
        <f t="shared" si="277"/>
        <v>50</v>
      </c>
    </row>
    <row r="1323" spans="1:19" ht="12.75" hidden="1">
      <c r="A1323" s="62" t="str">
        <f ca="1">IF(ISERROR(MATCH(E1323,Код_КЦСР,0)),"",INDIRECT(ADDRESS(MATCH(E1323,Код_КЦСР,0)+1,2,,,"КЦСР")))</f>
        <v>Здоровье на рабочем месте</v>
      </c>
      <c r="B1323" s="115">
        <v>810</v>
      </c>
      <c r="C1323" s="8" t="s">
        <v>196</v>
      </c>
      <c r="D1323" s="8" t="s">
        <v>225</v>
      </c>
      <c r="E1323" s="115" t="s">
        <v>588</v>
      </c>
      <c r="F1323" s="115"/>
      <c r="G1323" s="70">
        <f aca="true" t="shared" si="280" ref="G1323:R1325">G1324</f>
        <v>0</v>
      </c>
      <c r="H1323" s="70">
        <f t="shared" si="280"/>
        <v>0</v>
      </c>
      <c r="I1323" s="70">
        <f t="shared" si="275"/>
        <v>0</v>
      </c>
      <c r="J1323" s="70">
        <f t="shared" si="280"/>
        <v>0</v>
      </c>
      <c r="K1323" s="87">
        <f t="shared" si="271"/>
        <v>0</v>
      </c>
      <c r="L1323" s="13">
        <f t="shared" si="280"/>
        <v>0</v>
      </c>
      <c r="M1323" s="87">
        <f t="shared" si="268"/>
        <v>0</v>
      </c>
      <c r="N1323" s="13">
        <f t="shared" si="280"/>
        <v>0</v>
      </c>
      <c r="O1323" s="87">
        <f t="shared" si="269"/>
        <v>0</v>
      </c>
      <c r="P1323" s="13">
        <f t="shared" si="280"/>
        <v>0</v>
      </c>
      <c r="Q1323" s="87">
        <f t="shared" si="279"/>
        <v>0</v>
      </c>
      <c r="R1323" s="13">
        <f t="shared" si="280"/>
        <v>0</v>
      </c>
      <c r="S1323" s="87">
        <f t="shared" si="277"/>
        <v>0</v>
      </c>
    </row>
    <row r="1324" spans="1:19" ht="12.75" hidden="1">
      <c r="A1324" s="62" t="str">
        <f ca="1">IF(ISERROR(MATCH(F1324,Код_КВР,0)),"",INDIRECT(ADDRESS(MATCH(F1324,Код_КВР,0)+1,2,,,"КВР")))</f>
        <v>Закупка товаров, работ и услуг для муниципальных нужд</v>
      </c>
      <c r="B1324" s="115">
        <v>810</v>
      </c>
      <c r="C1324" s="8" t="s">
        <v>196</v>
      </c>
      <c r="D1324" s="8" t="s">
        <v>225</v>
      </c>
      <c r="E1324" s="115" t="s">
        <v>588</v>
      </c>
      <c r="F1324" s="115">
        <v>200</v>
      </c>
      <c r="G1324" s="70">
        <f t="shared" si="280"/>
        <v>0</v>
      </c>
      <c r="H1324" s="70">
        <f t="shared" si="280"/>
        <v>0</v>
      </c>
      <c r="I1324" s="70">
        <f t="shared" si="275"/>
        <v>0</v>
      </c>
      <c r="J1324" s="70">
        <f t="shared" si="280"/>
        <v>0</v>
      </c>
      <c r="K1324" s="87">
        <f t="shared" si="271"/>
        <v>0</v>
      </c>
      <c r="L1324" s="13">
        <f t="shared" si="280"/>
        <v>0</v>
      </c>
      <c r="M1324" s="87">
        <f t="shared" si="268"/>
        <v>0</v>
      </c>
      <c r="N1324" s="13">
        <f t="shared" si="280"/>
        <v>0</v>
      </c>
      <c r="O1324" s="87">
        <f t="shared" si="269"/>
        <v>0</v>
      </c>
      <c r="P1324" s="13">
        <f t="shared" si="280"/>
        <v>0</v>
      </c>
      <c r="Q1324" s="87">
        <f t="shared" si="279"/>
        <v>0</v>
      </c>
      <c r="R1324" s="13">
        <f t="shared" si="280"/>
        <v>0</v>
      </c>
      <c r="S1324" s="87">
        <f t="shared" si="277"/>
        <v>0</v>
      </c>
    </row>
    <row r="1325" spans="1:19" ht="33" hidden="1">
      <c r="A1325" s="62" t="str">
        <f ca="1">IF(ISERROR(MATCH(F1325,Код_КВР,0)),"",INDIRECT(ADDRESS(MATCH(F1325,Код_КВР,0)+1,2,,,"КВР")))</f>
        <v>Иные закупки товаров, работ и услуг для обеспечения муниципальных нужд</v>
      </c>
      <c r="B1325" s="115">
        <v>810</v>
      </c>
      <c r="C1325" s="8" t="s">
        <v>196</v>
      </c>
      <c r="D1325" s="8" t="s">
        <v>225</v>
      </c>
      <c r="E1325" s="115" t="s">
        <v>588</v>
      </c>
      <c r="F1325" s="115">
        <v>240</v>
      </c>
      <c r="G1325" s="70">
        <f t="shared" si="280"/>
        <v>0</v>
      </c>
      <c r="H1325" s="70">
        <f t="shared" si="280"/>
        <v>0</v>
      </c>
      <c r="I1325" s="70">
        <f t="shared" si="275"/>
        <v>0</v>
      </c>
      <c r="J1325" s="70">
        <f t="shared" si="280"/>
        <v>0</v>
      </c>
      <c r="K1325" s="87">
        <f t="shared" si="271"/>
        <v>0</v>
      </c>
      <c r="L1325" s="13">
        <f t="shared" si="280"/>
        <v>0</v>
      </c>
      <c r="M1325" s="87">
        <f t="shared" si="268"/>
        <v>0</v>
      </c>
      <c r="N1325" s="13">
        <f t="shared" si="280"/>
        <v>0</v>
      </c>
      <c r="O1325" s="87">
        <f t="shared" si="269"/>
        <v>0</v>
      </c>
      <c r="P1325" s="13">
        <f t="shared" si="280"/>
        <v>0</v>
      </c>
      <c r="Q1325" s="87">
        <f t="shared" si="279"/>
        <v>0</v>
      </c>
      <c r="R1325" s="13">
        <f t="shared" si="280"/>
        <v>0</v>
      </c>
      <c r="S1325" s="87">
        <f t="shared" si="277"/>
        <v>0</v>
      </c>
    </row>
    <row r="1326" spans="1:19" ht="33" hidden="1">
      <c r="A1326" s="62" t="str">
        <f ca="1">IF(ISERROR(MATCH(F1326,Код_КВР,0)),"",INDIRECT(ADDRESS(MATCH(F1326,Код_КВР,0)+1,2,,,"КВР")))</f>
        <v xml:space="preserve">Прочая закупка товаров, работ и услуг для обеспечения муниципальных нужд         </v>
      </c>
      <c r="B1326" s="115">
        <v>810</v>
      </c>
      <c r="C1326" s="8" t="s">
        <v>196</v>
      </c>
      <c r="D1326" s="8" t="s">
        <v>225</v>
      </c>
      <c r="E1326" s="115" t="s">
        <v>588</v>
      </c>
      <c r="F1326" s="115">
        <v>244</v>
      </c>
      <c r="G1326" s="70"/>
      <c r="H1326" s="70"/>
      <c r="I1326" s="70">
        <f t="shared" si="275"/>
        <v>0</v>
      </c>
      <c r="J1326" s="70"/>
      <c r="K1326" s="87">
        <f t="shared" si="271"/>
        <v>0</v>
      </c>
      <c r="L1326" s="13"/>
      <c r="M1326" s="87">
        <f t="shared" si="268"/>
        <v>0</v>
      </c>
      <c r="N1326" s="13"/>
      <c r="O1326" s="87">
        <f t="shared" si="269"/>
        <v>0</v>
      </c>
      <c r="P1326" s="13"/>
      <c r="Q1326" s="87">
        <f t="shared" si="279"/>
        <v>0</v>
      </c>
      <c r="R1326" s="13"/>
      <c r="S1326" s="87">
        <f t="shared" si="277"/>
        <v>0</v>
      </c>
    </row>
    <row r="1327" spans="1:19" ht="12.75">
      <c r="A1327" s="62" t="str">
        <f ca="1">IF(ISERROR(MATCH(E1327,Код_КЦСР,0)),"",INDIRECT(ADDRESS(MATCH(E1327,Код_КЦСР,0)+1,2,,,"КЦСР")))</f>
        <v>Активное долголетие</v>
      </c>
      <c r="B1327" s="115">
        <v>810</v>
      </c>
      <c r="C1327" s="8" t="s">
        <v>196</v>
      </c>
      <c r="D1327" s="8" t="s">
        <v>225</v>
      </c>
      <c r="E1327" s="115" t="s">
        <v>590</v>
      </c>
      <c r="F1327" s="115"/>
      <c r="G1327" s="70">
        <f aca="true" t="shared" si="281" ref="G1327:R1329">G1328</f>
        <v>50</v>
      </c>
      <c r="H1327" s="70">
        <f t="shared" si="281"/>
        <v>0</v>
      </c>
      <c r="I1327" s="70">
        <f t="shared" si="275"/>
        <v>50</v>
      </c>
      <c r="J1327" s="70">
        <f t="shared" si="281"/>
        <v>0</v>
      </c>
      <c r="K1327" s="87">
        <f t="shared" si="271"/>
        <v>50</v>
      </c>
      <c r="L1327" s="13">
        <f t="shared" si="281"/>
        <v>0</v>
      </c>
      <c r="M1327" s="87">
        <f t="shared" si="268"/>
        <v>50</v>
      </c>
      <c r="N1327" s="13">
        <f t="shared" si="281"/>
        <v>0</v>
      </c>
      <c r="O1327" s="87">
        <f t="shared" si="269"/>
        <v>50</v>
      </c>
      <c r="P1327" s="13">
        <f t="shared" si="281"/>
        <v>0</v>
      </c>
      <c r="Q1327" s="87">
        <f t="shared" si="279"/>
        <v>50</v>
      </c>
      <c r="R1327" s="13">
        <f t="shared" si="281"/>
        <v>0</v>
      </c>
      <c r="S1327" s="87">
        <f t="shared" si="277"/>
        <v>50</v>
      </c>
    </row>
    <row r="1328" spans="1:19" ht="12.75">
      <c r="A1328" s="62" t="str">
        <f ca="1">IF(ISERROR(MATCH(F1328,Код_КВР,0)),"",INDIRECT(ADDRESS(MATCH(F1328,Код_КВР,0)+1,2,,,"КВР")))</f>
        <v>Закупка товаров, работ и услуг для муниципальных нужд</v>
      </c>
      <c r="B1328" s="115">
        <v>810</v>
      </c>
      <c r="C1328" s="8" t="s">
        <v>196</v>
      </c>
      <c r="D1328" s="8" t="s">
        <v>225</v>
      </c>
      <c r="E1328" s="115" t="s">
        <v>590</v>
      </c>
      <c r="F1328" s="115">
        <v>200</v>
      </c>
      <c r="G1328" s="70">
        <f t="shared" si="281"/>
        <v>50</v>
      </c>
      <c r="H1328" s="70">
        <f t="shared" si="281"/>
        <v>0</v>
      </c>
      <c r="I1328" s="70">
        <f t="shared" si="275"/>
        <v>50</v>
      </c>
      <c r="J1328" s="70">
        <f t="shared" si="281"/>
        <v>0</v>
      </c>
      <c r="K1328" s="87">
        <f t="shared" si="271"/>
        <v>50</v>
      </c>
      <c r="L1328" s="13">
        <f t="shared" si="281"/>
        <v>0</v>
      </c>
      <c r="M1328" s="87">
        <f t="shared" si="268"/>
        <v>50</v>
      </c>
      <c r="N1328" s="13">
        <f t="shared" si="281"/>
        <v>0</v>
      </c>
      <c r="O1328" s="87">
        <f t="shared" si="269"/>
        <v>50</v>
      </c>
      <c r="P1328" s="13">
        <f t="shared" si="281"/>
        <v>0</v>
      </c>
      <c r="Q1328" s="87">
        <f t="shared" si="279"/>
        <v>50</v>
      </c>
      <c r="R1328" s="13">
        <f t="shared" si="281"/>
        <v>0</v>
      </c>
      <c r="S1328" s="87">
        <f t="shared" si="277"/>
        <v>50</v>
      </c>
    </row>
    <row r="1329" spans="1:19" ht="33">
      <c r="A1329" s="62" t="str">
        <f ca="1">IF(ISERROR(MATCH(F1329,Код_КВР,0)),"",INDIRECT(ADDRESS(MATCH(F1329,Код_КВР,0)+1,2,,,"КВР")))</f>
        <v>Иные закупки товаров, работ и услуг для обеспечения муниципальных нужд</v>
      </c>
      <c r="B1329" s="115">
        <v>810</v>
      </c>
      <c r="C1329" s="8" t="s">
        <v>196</v>
      </c>
      <c r="D1329" s="8" t="s">
        <v>225</v>
      </c>
      <c r="E1329" s="115" t="s">
        <v>590</v>
      </c>
      <c r="F1329" s="115">
        <v>240</v>
      </c>
      <c r="G1329" s="70">
        <f t="shared" si="281"/>
        <v>50</v>
      </c>
      <c r="H1329" s="70">
        <f t="shared" si="281"/>
        <v>0</v>
      </c>
      <c r="I1329" s="70">
        <f t="shared" si="275"/>
        <v>50</v>
      </c>
      <c r="J1329" s="70">
        <f t="shared" si="281"/>
        <v>0</v>
      </c>
      <c r="K1329" s="87">
        <f t="shared" si="271"/>
        <v>50</v>
      </c>
      <c r="L1329" s="13">
        <f t="shared" si="281"/>
        <v>0</v>
      </c>
      <c r="M1329" s="87">
        <f t="shared" si="268"/>
        <v>50</v>
      </c>
      <c r="N1329" s="13">
        <f t="shared" si="281"/>
        <v>0</v>
      </c>
      <c r="O1329" s="87">
        <f t="shared" si="269"/>
        <v>50</v>
      </c>
      <c r="P1329" s="13">
        <f t="shared" si="281"/>
        <v>0</v>
      </c>
      <c r="Q1329" s="87">
        <f t="shared" si="279"/>
        <v>50</v>
      </c>
      <c r="R1329" s="13">
        <f t="shared" si="281"/>
        <v>0</v>
      </c>
      <c r="S1329" s="87">
        <f t="shared" si="277"/>
        <v>50</v>
      </c>
    </row>
    <row r="1330" spans="1:19" ht="33">
      <c r="A1330" s="62" t="str">
        <f ca="1">IF(ISERROR(MATCH(F1330,Код_КВР,0)),"",INDIRECT(ADDRESS(MATCH(F1330,Код_КВР,0)+1,2,,,"КВР")))</f>
        <v xml:space="preserve">Прочая закупка товаров, работ и услуг для обеспечения муниципальных нужд         </v>
      </c>
      <c r="B1330" s="115">
        <v>810</v>
      </c>
      <c r="C1330" s="8" t="s">
        <v>196</v>
      </c>
      <c r="D1330" s="8" t="s">
        <v>225</v>
      </c>
      <c r="E1330" s="115" t="s">
        <v>590</v>
      </c>
      <c r="F1330" s="115">
        <v>244</v>
      </c>
      <c r="G1330" s="70">
        <v>50</v>
      </c>
      <c r="H1330" s="70"/>
      <c r="I1330" s="70">
        <f t="shared" si="275"/>
        <v>50</v>
      </c>
      <c r="J1330" s="70"/>
      <c r="K1330" s="87">
        <f t="shared" si="271"/>
        <v>50</v>
      </c>
      <c r="L1330" s="13"/>
      <c r="M1330" s="87">
        <f t="shared" si="268"/>
        <v>50</v>
      </c>
      <c r="N1330" s="13"/>
      <c r="O1330" s="87">
        <f t="shared" si="269"/>
        <v>50</v>
      </c>
      <c r="P1330" s="13"/>
      <c r="Q1330" s="87">
        <f t="shared" si="279"/>
        <v>50</v>
      </c>
      <c r="R1330" s="13"/>
      <c r="S1330" s="87">
        <f t="shared" si="277"/>
        <v>50</v>
      </c>
    </row>
    <row r="1331" spans="1:19" ht="33">
      <c r="A1331" s="62" t="str">
        <f ca="1">IF(ISERROR(MATCH(E1331,Код_КЦСР,0)),"",INDIRECT(ADDRESS(MATCH(E1331,Код_КЦСР,0)+1,2,,,"КЦСР")))</f>
        <v>Муниципальная программа «Социальная поддержка граждан» на 2014-2018 годы</v>
      </c>
      <c r="B1331" s="115">
        <v>810</v>
      </c>
      <c r="C1331" s="8" t="s">
        <v>196</v>
      </c>
      <c r="D1331" s="8" t="s">
        <v>225</v>
      </c>
      <c r="E1331" s="115" t="s">
        <v>6</v>
      </c>
      <c r="F1331" s="115"/>
      <c r="G1331" s="70">
        <f>G1332+G1341</f>
        <v>12175.3</v>
      </c>
      <c r="H1331" s="70">
        <f>H1332+H1341</f>
        <v>0</v>
      </c>
      <c r="I1331" s="70">
        <f t="shared" si="275"/>
        <v>12175.3</v>
      </c>
      <c r="J1331" s="70">
        <f>J1332+J1341</f>
        <v>0</v>
      </c>
      <c r="K1331" s="87">
        <f t="shared" si="271"/>
        <v>12175.3</v>
      </c>
      <c r="L1331" s="13">
        <f>L1332+L1341</f>
        <v>0</v>
      </c>
      <c r="M1331" s="87">
        <f t="shared" si="268"/>
        <v>12175.3</v>
      </c>
      <c r="N1331" s="13">
        <f>N1332+N1341</f>
        <v>0</v>
      </c>
      <c r="O1331" s="87">
        <f t="shared" si="269"/>
        <v>12175.3</v>
      </c>
      <c r="P1331" s="13">
        <f>P1332+P1341</f>
        <v>0</v>
      </c>
      <c r="Q1331" s="87">
        <f t="shared" si="279"/>
        <v>12175.3</v>
      </c>
      <c r="R1331" s="13">
        <f>R1332+R1341</f>
        <v>-1534.7000000000003</v>
      </c>
      <c r="S1331" s="87">
        <f t="shared" si="277"/>
        <v>10640.599999999999</v>
      </c>
    </row>
    <row r="1332" spans="1:19" ht="82.5">
      <c r="A1332" s="62" t="str">
        <f ca="1">IF(ISERROR(MATCH(E1332,Код_КЦСР,0)),"",INDIRECT(ADDRESS(MATCH(E1332,Код_КЦСР,0)+1,2,,,"КЦСР")))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32" s="115">
        <v>810</v>
      </c>
      <c r="C1332" s="8" t="s">
        <v>196</v>
      </c>
      <c r="D1332" s="8" t="s">
        <v>225</v>
      </c>
      <c r="E1332" s="115" t="s">
        <v>414</v>
      </c>
      <c r="F1332" s="115"/>
      <c r="G1332" s="70">
        <f>G1333+G1335</f>
        <v>6988.8</v>
      </c>
      <c r="H1332" s="70">
        <f>H1333+H1335</f>
        <v>0</v>
      </c>
      <c r="I1332" s="70">
        <f t="shared" si="275"/>
        <v>6988.8</v>
      </c>
      <c r="J1332" s="70">
        <f>J1333+J1335</f>
        <v>0</v>
      </c>
      <c r="K1332" s="87">
        <f t="shared" si="271"/>
        <v>6988.8</v>
      </c>
      <c r="L1332" s="13">
        <f>L1333+L1335</f>
        <v>0</v>
      </c>
      <c r="M1332" s="87">
        <f t="shared" si="268"/>
        <v>6988.8</v>
      </c>
      <c r="N1332" s="13">
        <f>N1333+N1335</f>
        <v>0</v>
      </c>
      <c r="O1332" s="87">
        <f t="shared" si="269"/>
        <v>6988.8</v>
      </c>
      <c r="P1332" s="13">
        <f>P1333+P1335+P1338</f>
        <v>0</v>
      </c>
      <c r="Q1332" s="87">
        <f t="shared" si="279"/>
        <v>6988.8</v>
      </c>
      <c r="R1332" s="13">
        <f>R1333+R1335+R1338</f>
        <v>-1534.7000000000003</v>
      </c>
      <c r="S1332" s="87">
        <f t="shared" si="277"/>
        <v>5454.1</v>
      </c>
    </row>
    <row r="1333" spans="1:19" ht="33">
      <c r="A1333" s="62" t="str">
        <f aca="true" t="shared" si="282" ref="A1333:A1340">IF(ISERROR(MATCH(F1333,Код_КВР,0)),"",INDIRECT(ADDRESS(MATCH(F1333,Код_КВР,0)+1,2,,,"КВР")))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115">
        <v>810</v>
      </c>
      <c r="C1333" s="8" t="s">
        <v>196</v>
      </c>
      <c r="D1333" s="8" t="s">
        <v>225</v>
      </c>
      <c r="E1333" s="115" t="s">
        <v>414</v>
      </c>
      <c r="F1333" s="115">
        <v>100</v>
      </c>
      <c r="G1333" s="70">
        <f>G1334</f>
        <v>5101</v>
      </c>
      <c r="H1333" s="70">
        <f>H1334</f>
        <v>0</v>
      </c>
      <c r="I1333" s="70">
        <f t="shared" si="275"/>
        <v>5101</v>
      </c>
      <c r="J1333" s="70">
        <f>J1334</f>
        <v>-439.2</v>
      </c>
      <c r="K1333" s="87">
        <f t="shared" si="271"/>
        <v>4661.8</v>
      </c>
      <c r="L1333" s="13">
        <f>L1334</f>
        <v>0</v>
      </c>
      <c r="M1333" s="87">
        <f t="shared" si="268"/>
        <v>4661.8</v>
      </c>
      <c r="N1333" s="13">
        <f>N1334</f>
        <v>0</v>
      </c>
      <c r="O1333" s="87">
        <f t="shared" si="269"/>
        <v>4661.8</v>
      </c>
      <c r="P1333" s="13">
        <f>P1334</f>
        <v>0</v>
      </c>
      <c r="Q1333" s="87">
        <f t="shared" si="279"/>
        <v>4661.8</v>
      </c>
      <c r="R1333" s="13">
        <f>R1334</f>
        <v>-1241.1000000000001</v>
      </c>
      <c r="S1333" s="87">
        <f t="shared" si="277"/>
        <v>3420.7</v>
      </c>
    </row>
    <row r="1334" spans="1:19" ht="12.75">
      <c r="A1334" s="62" t="str">
        <f ca="1" t="shared" si="282"/>
        <v>Расходы на выплаты персоналу казенных учреждений</v>
      </c>
      <c r="B1334" s="115">
        <v>810</v>
      </c>
      <c r="C1334" s="8" t="s">
        <v>196</v>
      </c>
      <c r="D1334" s="8" t="s">
        <v>225</v>
      </c>
      <c r="E1334" s="115" t="s">
        <v>414</v>
      </c>
      <c r="F1334" s="115">
        <v>110</v>
      </c>
      <c r="G1334" s="70">
        <f>5404.5-303.5</f>
        <v>5101</v>
      </c>
      <c r="H1334" s="70"/>
      <c r="I1334" s="70">
        <f t="shared" si="275"/>
        <v>5101</v>
      </c>
      <c r="J1334" s="70">
        <v>-439.2</v>
      </c>
      <c r="K1334" s="87">
        <f t="shared" si="271"/>
        <v>4661.8</v>
      </c>
      <c r="L1334" s="13"/>
      <c r="M1334" s="87">
        <f t="shared" si="268"/>
        <v>4661.8</v>
      </c>
      <c r="N1334" s="13"/>
      <c r="O1334" s="87">
        <f t="shared" si="269"/>
        <v>4661.8</v>
      </c>
      <c r="P1334" s="13"/>
      <c r="Q1334" s="87">
        <f t="shared" si="279"/>
        <v>4661.8</v>
      </c>
      <c r="R1334" s="13">
        <f>-880-360.9-0.2</f>
        <v>-1241.1000000000001</v>
      </c>
      <c r="S1334" s="87">
        <f t="shared" si="277"/>
        <v>3420.7</v>
      </c>
    </row>
    <row r="1335" spans="1:19" ht="12.75">
      <c r="A1335" s="62" t="str">
        <f ca="1" t="shared" si="282"/>
        <v>Закупка товаров, работ и услуг для муниципальных нужд</v>
      </c>
      <c r="B1335" s="115">
        <v>810</v>
      </c>
      <c r="C1335" s="8" t="s">
        <v>196</v>
      </c>
      <c r="D1335" s="8" t="s">
        <v>225</v>
      </c>
      <c r="E1335" s="115" t="s">
        <v>414</v>
      </c>
      <c r="F1335" s="115">
        <v>200</v>
      </c>
      <c r="G1335" s="70">
        <f>G1336</f>
        <v>1887.8</v>
      </c>
      <c r="H1335" s="70">
        <f>H1336</f>
        <v>0</v>
      </c>
      <c r="I1335" s="70">
        <f t="shared" si="275"/>
        <v>1887.8</v>
      </c>
      <c r="J1335" s="70">
        <f>J1336</f>
        <v>439.2</v>
      </c>
      <c r="K1335" s="87">
        <f t="shared" si="271"/>
        <v>2327</v>
      </c>
      <c r="L1335" s="13">
        <f>L1336</f>
        <v>0</v>
      </c>
      <c r="M1335" s="87">
        <f t="shared" si="268"/>
        <v>2327</v>
      </c>
      <c r="N1335" s="13">
        <f>N1336</f>
        <v>0</v>
      </c>
      <c r="O1335" s="87">
        <f t="shared" si="269"/>
        <v>2327</v>
      </c>
      <c r="P1335" s="13">
        <f>P1336</f>
        <v>-0.8</v>
      </c>
      <c r="Q1335" s="87">
        <f t="shared" si="279"/>
        <v>2326.2</v>
      </c>
      <c r="R1335" s="13">
        <f>R1336</f>
        <v>-293.6</v>
      </c>
      <c r="S1335" s="87">
        <f t="shared" si="277"/>
        <v>2032.6</v>
      </c>
    </row>
    <row r="1336" spans="1:19" ht="33">
      <c r="A1336" s="62" t="str">
        <f ca="1" t="shared" si="282"/>
        <v>Иные закупки товаров, работ и услуг для обеспечения муниципальных нужд</v>
      </c>
      <c r="B1336" s="115">
        <v>810</v>
      </c>
      <c r="C1336" s="8" t="s">
        <v>196</v>
      </c>
      <c r="D1336" s="8" t="s">
        <v>225</v>
      </c>
      <c r="E1336" s="115" t="s">
        <v>414</v>
      </c>
      <c r="F1336" s="115">
        <v>240</v>
      </c>
      <c r="G1336" s="70">
        <f>G1337</f>
        <v>1887.8</v>
      </c>
      <c r="H1336" s="70">
        <f>H1337</f>
        <v>0</v>
      </c>
      <c r="I1336" s="70">
        <f t="shared" si="275"/>
        <v>1887.8</v>
      </c>
      <c r="J1336" s="70">
        <f>J1337</f>
        <v>439.2</v>
      </c>
      <c r="K1336" s="87">
        <f t="shared" si="271"/>
        <v>2327</v>
      </c>
      <c r="L1336" s="13">
        <f>L1337</f>
        <v>0</v>
      </c>
      <c r="M1336" s="87">
        <f t="shared" si="268"/>
        <v>2327</v>
      </c>
      <c r="N1336" s="13">
        <f>N1337</f>
        <v>0</v>
      </c>
      <c r="O1336" s="87">
        <f t="shared" si="269"/>
        <v>2327</v>
      </c>
      <c r="P1336" s="13">
        <f>P1337</f>
        <v>-0.8</v>
      </c>
      <c r="Q1336" s="87">
        <f t="shared" si="279"/>
        <v>2326.2</v>
      </c>
      <c r="R1336" s="13">
        <f>R1337</f>
        <v>-293.6</v>
      </c>
      <c r="S1336" s="87">
        <f t="shared" si="277"/>
        <v>2032.6</v>
      </c>
    </row>
    <row r="1337" spans="1:19" ht="33">
      <c r="A1337" s="62" t="str">
        <f ca="1" t="shared" si="282"/>
        <v xml:space="preserve">Прочая закупка товаров, работ и услуг для обеспечения муниципальных нужд         </v>
      </c>
      <c r="B1337" s="115">
        <v>810</v>
      </c>
      <c r="C1337" s="8" t="s">
        <v>196</v>
      </c>
      <c r="D1337" s="8" t="s">
        <v>225</v>
      </c>
      <c r="E1337" s="115" t="s">
        <v>414</v>
      </c>
      <c r="F1337" s="115">
        <v>244</v>
      </c>
      <c r="G1337" s="70">
        <v>1887.8</v>
      </c>
      <c r="H1337" s="70"/>
      <c r="I1337" s="70">
        <f t="shared" si="275"/>
        <v>1887.8</v>
      </c>
      <c r="J1337" s="70">
        <v>439.2</v>
      </c>
      <c r="K1337" s="87">
        <f t="shared" si="271"/>
        <v>2327</v>
      </c>
      <c r="L1337" s="13"/>
      <c r="M1337" s="87">
        <f t="shared" si="268"/>
        <v>2327</v>
      </c>
      <c r="N1337" s="13"/>
      <c r="O1337" s="87">
        <f t="shared" si="269"/>
        <v>2327</v>
      </c>
      <c r="P1337" s="13">
        <v>-0.8</v>
      </c>
      <c r="Q1337" s="87">
        <f t="shared" si="279"/>
        <v>2326.2</v>
      </c>
      <c r="R1337" s="13">
        <f>-22.9-52.9-64-92.3-4-57.5</f>
        <v>-293.6</v>
      </c>
      <c r="S1337" s="87">
        <f t="shared" si="277"/>
        <v>2032.6</v>
      </c>
    </row>
    <row r="1338" spans="1:19" s="94" customFormat="1" ht="26.25" customHeight="1">
      <c r="A1338" s="62" t="str">
        <f ca="1" t="shared" si="282"/>
        <v>Иные бюджетные ассигнования</v>
      </c>
      <c r="B1338" s="115">
        <v>810</v>
      </c>
      <c r="C1338" s="8" t="s">
        <v>196</v>
      </c>
      <c r="D1338" s="8" t="s">
        <v>225</v>
      </c>
      <c r="E1338" s="115" t="s">
        <v>414</v>
      </c>
      <c r="F1338" s="115">
        <v>800</v>
      </c>
      <c r="G1338" s="70"/>
      <c r="H1338" s="70"/>
      <c r="I1338" s="70"/>
      <c r="J1338" s="70"/>
      <c r="K1338" s="87"/>
      <c r="L1338" s="13"/>
      <c r="M1338" s="87"/>
      <c r="N1338" s="13"/>
      <c r="O1338" s="87"/>
      <c r="P1338" s="13">
        <f>P1339</f>
        <v>0.8</v>
      </c>
      <c r="Q1338" s="87">
        <f t="shared" si="279"/>
        <v>0.8</v>
      </c>
      <c r="R1338" s="13">
        <f>R1339</f>
        <v>0</v>
      </c>
      <c r="S1338" s="87">
        <f t="shared" si="277"/>
        <v>0.8</v>
      </c>
    </row>
    <row r="1339" spans="1:19" s="94" customFormat="1" ht="27.2" customHeight="1">
      <c r="A1339" s="62" t="str">
        <f ca="1" t="shared" si="282"/>
        <v>Уплата налогов, сборов и иных платежей</v>
      </c>
      <c r="B1339" s="115">
        <v>810</v>
      </c>
      <c r="C1339" s="8" t="s">
        <v>196</v>
      </c>
      <c r="D1339" s="8" t="s">
        <v>225</v>
      </c>
      <c r="E1339" s="115" t="s">
        <v>414</v>
      </c>
      <c r="F1339" s="115">
        <v>850</v>
      </c>
      <c r="G1339" s="70"/>
      <c r="H1339" s="70"/>
      <c r="I1339" s="70"/>
      <c r="J1339" s="70"/>
      <c r="K1339" s="87"/>
      <c r="L1339" s="13"/>
      <c r="M1339" s="87"/>
      <c r="N1339" s="13"/>
      <c r="O1339" s="87"/>
      <c r="P1339" s="13">
        <f>P1340</f>
        <v>0.8</v>
      </c>
      <c r="Q1339" s="87">
        <f t="shared" si="279"/>
        <v>0.8</v>
      </c>
      <c r="R1339" s="13">
        <f>R1340</f>
        <v>0</v>
      </c>
      <c r="S1339" s="87">
        <f t="shared" si="277"/>
        <v>0.8</v>
      </c>
    </row>
    <row r="1340" spans="1:19" s="94" customFormat="1" ht="23.25" customHeight="1">
      <c r="A1340" s="62" t="str">
        <f ca="1" t="shared" si="282"/>
        <v>Уплата прочих налогов, сборов и иных платежей</v>
      </c>
      <c r="B1340" s="115">
        <v>810</v>
      </c>
      <c r="C1340" s="8" t="s">
        <v>196</v>
      </c>
      <c r="D1340" s="8" t="s">
        <v>225</v>
      </c>
      <c r="E1340" s="115" t="s">
        <v>414</v>
      </c>
      <c r="F1340" s="115">
        <v>852</v>
      </c>
      <c r="G1340" s="70"/>
      <c r="H1340" s="70"/>
      <c r="I1340" s="70"/>
      <c r="J1340" s="70"/>
      <c r="K1340" s="87"/>
      <c r="L1340" s="13"/>
      <c r="M1340" s="87"/>
      <c r="N1340" s="13"/>
      <c r="O1340" s="87"/>
      <c r="P1340" s="13">
        <v>0.8</v>
      </c>
      <c r="Q1340" s="87">
        <f t="shared" si="279"/>
        <v>0.8</v>
      </c>
      <c r="R1340" s="13"/>
      <c r="S1340" s="87">
        <f t="shared" si="277"/>
        <v>0.8</v>
      </c>
    </row>
    <row r="1341" spans="1:19" ht="132">
      <c r="A1341" s="62" t="str">
        <f ca="1">IF(ISERROR(MATCH(E1341,Код_КЦСР,0)),"",INDIRECT(ADDRESS(MATCH(E1341,Код_КЦСР,0)+1,2,,,"КЦСР")))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41" s="115">
        <v>810</v>
      </c>
      <c r="C1341" s="8" t="s">
        <v>196</v>
      </c>
      <c r="D1341" s="8" t="s">
        <v>225</v>
      </c>
      <c r="E1341" s="115" t="s">
        <v>413</v>
      </c>
      <c r="F1341" s="115"/>
      <c r="G1341" s="70">
        <f aca="true" t="shared" si="283" ref="G1341:R1343">G1342</f>
        <v>5186.5</v>
      </c>
      <c r="H1341" s="70">
        <f t="shared" si="283"/>
        <v>0</v>
      </c>
      <c r="I1341" s="70">
        <f t="shared" si="275"/>
        <v>5186.5</v>
      </c>
      <c r="J1341" s="70">
        <f t="shared" si="283"/>
        <v>0</v>
      </c>
      <c r="K1341" s="87">
        <f t="shared" si="271"/>
        <v>5186.5</v>
      </c>
      <c r="L1341" s="13">
        <f t="shared" si="283"/>
        <v>0</v>
      </c>
      <c r="M1341" s="87">
        <f aca="true" t="shared" si="284" ref="M1341:M1404">K1341+L1341</f>
        <v>5186.5</v>
      </c>
      <c r="N1341" s="13">
        <f t="shared" si="283"/>
        <v>0</v>
      </c>
      <c r="O1341" s="87">
        <f aca="true" t="shared" si="285" ref="O1341:O1404">M1341+N1341</f>
        <v>5186.5</v>
      </c>
      <c r="P1341" s="13">
        <f t="shared" si="283"/>
        <v>0</v>
      </c>
      <c r="Q1341" s="87">
        <f t="shared" si="279"/>
        <v>5186.5</v>
      </c>
      <c r="R1341" s="13">
        <f t="shared" si="283"/>
        <v>0</v>
      </c>
      <c r="S1341" s="87">
        <f t="shared" si="277"/>
        <v>5186.5</v>
      </c>
    </row>
    <row r="1342" spans="1:19" ht="12.75">
      <c r="A1342" s="62" t="str">
        <f ca="1">IF(ISERROR(MATCH(F1342,Код_КВР,0)),"",INDIRECT(ADDRESS(MATCH(F1342,Код_КВР,0)+1,2,,,"КВР")))</f>
        <v>Социальное обеспечение и иные выплаты населению</v>
      </c>
      <c r="B1342" s="115">
        <v>810</v>
      </c>
      <c r="C1342" s="8" t="s">
        <v>196</v>
      </c>
      <c r="D1342" s="8" t="s">
        <v>225</v>
      </c>
      <c r="E1342" s="115" t="s">
        <v>413</v>
      </c>
      <c r="F1342" s="115">
        <v>300</v>
      </c>
      <c r="G1342" s="70">
        <f t="shared" si="283"/>
        <v>5186.5</v>
      </c>
      <c r="H1342" s="70">
        <f t="shared" si="283"/>
        <v>0</v>
      </c>
      <c r="I1342" s="70">
        <f t="shared" si="275"/>
        <v>5186.5</v>
      </c>
      <c r="J1342" s="70">
        <f t="shared" si="283"/>
        <v>0</v>
      </c>
      <c r="K1342" s="87">
        <f t="shared" si="271"/>
        <v>5186.5</v>
      </c>
      <c r="L1342" s="13">
        <f t="shared" si="283"/>
        <v>0</v>
      </c>
      <c r="M1342" s="87">
        <f t="shared" si="284"/>
        <v>5186.5</v>
      </c>
      <c r="N1342" s="13">
        <f t="shared" si="283"/>
        <v>0</v>
      </c>
      <c r="O1342" s="87">
        <f t="shared" si="285"/>
        <v>5186.5</v>
      </c>
      <c r="P1342" s="13">
        <f t="shared" si="283"/>
        <v>0</v>
      </c>
      <c r="Q1342" s="87">
        <f t="shared" si="279"/>
        <v>5186.5</v>
      </c>
      <c r="R1342" s="13">
        <f t="shared" si="283"/>
        <v>0</v>
      </c>
      <c r="S1342" s="87">
        <f t="shared" si="277"/>
        <v>5186.5</v>
      </c>
    </row>
    <row r="1343" spans="1:19" ht="33">
      <c r="A1343" s="62" t="str">
        <f ca="1">IF(ISERROR(MATCH(F1343,Код_КВР,0)),"",INDIRECT(ADDRESS(MATCH(F1343,Код_КВР,0)+1,2,,,"КВР")))</f>
        <v>Социальные выплаты гражданам, кроме публичных нормативных социальных выплат</v>
      </c>
      <c r="B1343" s="115">
        <v>810</v>
      </c>
      <c r="C1343" s="8" t="s">
        <v>196</v>
      </c>
      <c r="D1343" s="8" t="s">
        <v>225</v>
      </c>
      <c r="E1343" s="115" t="s">
        <v>413</v>
      </c>
      <c r="F1343" s="115">
        <v>320</v>
      </c>
      <c r="G1343" s="70">
        <f t="shared" si="283"/>
        <v>5186.5</v>
      </c>
      <c r="H1343" s="70">
        <f t="shared" si="283"/>
        <v>0</v>
      </c>
      <c r="I1343" s="70">
        <f t="shared" si="275"/>
        <v>5186.5</v>
      </c>
      <c r="J1343" s="70">
        <f t="shared" si="283"/>
        <v>0</v>
      </c>
      <c r="K1343" s="87">
        <f t="shared" si="271"/>
        <v>5186.5</v>
      </c>
      <c r="L1343" s="13">
        <f t="shared" si="283"/>
        <v>0</v>
      </c>
      <c r="M1343" s="87">
        <f t="shared" si="284"/>
        <v>5186.5</v>
      </c>
      <c r="N1343" s="13">
        <f t="shared" si="283"/>
        <v>0</v>
      </c>
      <c r="O1343" s="87">
        <f t="shared" si="285"/>
        <v>5186.5</v>
      </c>
      <c r="P1343" s="13">
        <f t="shared" si="283"/>
        <v>0</v>
      </c>
      <c r="Q1343" s="87">
        <f t="shared" si="279"/>
        <v>5186.5</v>
      </c>
      <c r="R1343" s="13">
        <f t="shared" si="283"/>
        <v>0</v>
      </c>
      <c r="S1343" s="87">
        <f t="shared" si="277"/>
        <v>5186.5</v>
      </c>
    </row>
    <row r="1344" spans="1:19" ht="33">
      <c r="A1344" s="62" t="str">
        <f ca="1">IF(ISERROR(MATCH(F1344,Код_КВР,0)),"",INDIRECT(ADDRESS(MATCH(F1344,Код_КВР,0)+1,2,,,"КВР")))</f>
        <v>Пособия, компенсации и иные социальные выплаты гражданам, кроме публичных нормативных обязательств</v>
      </c>
      <c r="B1344" s="115">
        <v>810</v>
      </c>
      <c r="C1344" s="8" t="s">
        <v>196</v>
      </c>
      <c r="D1344" s="8" t="s">
        <v>225</v>
      </c>
      <c r="E1344" s="115" t="s">
        <v>413</v>
      </c>
      <c r="F1344" s="115">
        <v>321</v>
      </c>
      <c r="G1344" s="70">
        <v>5186.5</v>
      </c>
      <c r="H1344" s="70"/>
      <c r="I1344" s="70">
        <f t="shared" si="275"/>
        <v>5186.5</v>
      </c>
      <c r="J1344" s="70"/>
      <c r="K1344" s="87">
        <f t="shared" si="271"/>
        <v>5186.5</v>
      </c>
      <c r="L1344" s="13"/>
      <c r="M1344" s="87">
        <f t="shared" si="284"/>
        <v>5186.5</v>
      </c>
      <c r="N1344" s="13"/>
      <c r="O1344" s="87">
        <f t="shared" si="285"/>
        <v>5186.5</v>
      </c>
      <c r="P1344" s="13"/>
      <c r="Q1344" s="87">
        <f t="shared" si="279"/>
        <v>5186.5</v>
      </c>
      <c r="R1344" s="13"/>
      <c r="S1344" s="87">
        <f t="shared" si="277"/>
        <v>5186.5</v>
      </c>
    </row>
    <row r="1345" spans="1:19" ht="33">
      <c r="A1345" s="62" t="str">
        <f ca="1">IF(ISERROR(MATCH(E1345,Код_КЦСР,0)),"",INDIRECT(ADDRESS(MATCH(E1345,Код_КЦСР,0)+1,2,,,"КЦСР")))</f>
        <v>Непрограммные направления деятельности органов местного самоуправления</v>
      </c>
      <c r="B1345" s="115">
        <v>810</v>
      </c>
      <c r="C1345" s="8" t="s">
        <v>196</v>
      </c>
      <c r="D1345" s="8" t="s">
        <v>225</v>
      </c>
      <c r="E1345" s="115" t="s">
        <v>307</v>
      </c>
      <c r="F1345" s="115"/>
      <c r="G1345" s="70">
        <f>G1346</f>
        <v>42665.600000000006</v>
      </c>
      <c r="H1345" s="70">
        <f>H1346</f>
        <v>0</v>
      </c>
      <c r="I1345" s="70">
        <f t="shared" si="275"/>
        <v>42665.600000000006</v>
      </c>
      <c r="J1345" s="70">
        <f>J1346</f>
        <v>-718.2</v>
      </c>
      <c r="K1345" s="87">
        <f t="shared" si="271"/>
        <v>41947.40000000001</v>
      </c>
      <c r="L1345" s="13">
        <f>L1346</f>
        <v>0</v>
      </c>
      <c r="M1345" s="87">
        <f t="shared" si="284"/>
        <v>41947.40000000001</v>
      </c>
      <c r="N1345" s="13">
        <f>N1346</f>
        <v>0</v>
      </c>
      <c r="O1345" s="87">
        <f t="shared" si="285"/>
        <v>41947.40000000001</v>
      </c>
      <c r="P1345" s="13">
        <f>P1346</f>
        <v>0</v>
      </c>
      <c r="Q1345" s="87">
        <f t="shared" si="279"/>
        <v>41947.40000000001</v>
      </c>
      <c r="R1345" s="13">
        <f>R1346</f>
        <v>-355.79999999999995</v>
      </c>
      <c r="S1345" s="87">
        <f t="shared" si="277"/>
        <v>41591.600000000006</v>
      </c>
    </row>
    <row r="1346" spans="1:19" ht="12.75">
      <c r="A1346" s="62" t="str">
        <f ca="1">IF(ISERROR(MATCH(E1346,Код_КЦСР,0)),"",INDIRECT(ADDRESS(MATCH(E1346,Код_КЦСР,0)+1,2,,,"КЦСР")))</f>
        <v>Расходы, не включенные в муниципальные программы города Череповца</v>
      </c>
      <c r="B1346" s="115">
        <v>810</v>
      </c>
      <c r="C1346" s="8" t="s">
        <v>196</v>
      </c>
      <c r="D1346" s="8" t="s">
        <v>225</v>
      </c>
      <c r="E1346" s="115" t="s">
        <v>309</v>
      </c>
      <c r="F1346" s="115"/>
      <c r="G1346" s="70">
        <f>G1347+G1354+G1360+G1370+G1376</f>
        <v>42665.600000000006</v>
      </c>
      <c r="H1346" s="70">
        <f>H1347+H1354+H1360+H1370+H1376</f>
        <v>0</v>
      </c>
      <c r="I1346" s="70">
        <f t="shared" si="275"/>
        <v>42665.600000000006</v>
      </c>
      <c r="J1346" s="70">
        <f>J1347+J1354+J1360+J1370+J1376</f>
        <v>-718.2</v>
      </c>
      <c r="K1346" s="87">
        <f t="shared" si="271"/>
        <v>41947.40000000001</v>
      </c>
      <c r="L1346" s="13">
        <f>L1347+L1354+L1360+L1370+L1376</f>
        <v>0</v>
      </c>
      <c r="M1346" s="87">
        <f t="shared" si="284"/>
        <v>41947.40000000001</v>
      </c>
      <c r="N1346" s="13">
        <f>N1347+N1354+N1360+N1370+N1376</f>
        <v>0</v>
      </c>
      <c r="O1346" s="87">
        <f t="shared" si="285"/>
        <v>41947.40000000001</v>
      </c>
      <c r="P1346" s="13">
        <f>P1347+P1354+P1360+P1370+P1376</f>
        <v>0</v>
      </c>
      <c r="Q1346" s="87">
        <f t="shared" si="279"/>
        <v>41947.40000000001</v>
      </c>
      <c r="R1346" s="13">
        <f>R1347+R1354+R1360+R1370+R1376</f>
        <v>-355.79999999999995</v>
      </c>
      <c r="S1346" s="87">
        <f t="shared" si="277"/>
        <v>41591.600000000006</v>
      </c>
    </row>
    <row r="1347" spans="1:19" ht="33">
      <c r="A1347" s="62" t="str">
        <f ca="1">IF(ISERROR(MATCH(E1347,Код_КЦСР,0)),"",INDIRECT(ADDRESS(MATCH(E1347,Код_КЦСР,0)+1,2,,,"КЦСР")))</f>
        <v>Руководство и управление в сфере установленных функций органов местного самоуправления</v>
      </c>
      <c r="B1347" s="115">
        <v>810</v>
      </c>
      <c r="C1347" s="8" t="s">
        <v>196</v>
      </c>
      <c r="D1347" s="8" t="s">
        <v>225</v>
      </c>
      <c r="E1347" s="115" t="s">
        <v>311</v>
      </c>
      <c r="F1347" s="115"/>
      <c r="G1347" s="70">
        <f>G1348</f>
        <v>15807.9</v>
      </c>
      <c r="H1347" s="70">
        <f>H1348</f>
        <v>0</v>
      </c>
      <c r="I1347" s="70">
        <f t="shared" si="275"/>
        <v>15807.9</v>
      </c>
      <c r="J1347" s="70">
        <f>J1348</f>
        <v>-718.2</v>
      </c>
      <c r="K1347" s="87">
        <f t="shared" si="271"/>
        <v>15089.699999999999</v>
      </c>
      <c r="L1347" s="13">
        <f>L1348</f>
        <v>0</v>
      </c>
      <c r="M1347" s="87">
        <f t="shared" si="284"/>
        <v>15089.699999999999</v>
      </c>
      <c r="N1347" s="13">
        <f>N1348</f>
        <v>0</v>
      </c>
      <c r="O1347" s="87">
        <f t="shared" si="285"/>
        <v>15089.699999999999</v>
      </c>
      <c r="P1347" s="13">
        <f>P1348</f>
        <v>0</v>
      </c>
      <c r="Q1347" s="87">
        <f t="shared" si="279"/>
        <v>15089.699999999999</v>
      </c>
      <c r="R1347" s="13">
        <f>R1348</f>
        <v>-1213.8</v>
      </c>
      <c r="S1347" s="87">
        <f t="shared" si="277"/>
        <v>13875.9</v>
      </c>
    </row>
    <row r="1348" spans="1:19" ht="12.75">
      <c r="A1348" s="62" t="str">
        <f ca="1">IF(ISERROR(MATCH(E1348,Код_КЦСР,0)),"",INDIRECT(ADDRESS(MATCH(E1348,Код_КЦСР,0)+1,2,,,"КЦСР")))</f>
        <v>Центральный аппарат</v>
      </c>
      <c r="B1348" s="115">
        <v>810</v>
      </c>
      <c r="C1348" s="8" t="s">
        <v>196</v>
      </c>
      <c r="D1348" s="8" t="s">
        <v>225</v>
      </c>
      <c r="E1348" s="115" t="s">
        <v>314</v>
      </c>
      <c r="F1348" s="115"/>
      <c r="G1348" s="70">
        <f>G1349+G1351</f>
        <v>15807.9</v>
      </c>
      <c r="H1348" s="70">
        <f>H1349+H1351</f>
        <v>0</v>
      </c>
      <c r="I1348" s="70">
        <f t="shared" si="275"/>
        <v>15807.9</v>
      </c>
      <c r="J1348" s="70">
        <f>J1349+J1351</f>
        <v>-718.2</v>
      </c>
      <c r="K1348" s="87">
        <f t="shared" si="271"/>
        <v>15089.699999999999</v>
      </c>
      <c r="L1348" s="13">
        <f>L1349+L1351</f>
        <v>0</v>
      </c>
      <c r="M1348" s="87">
        <f t="shared" si="284"/>
        <v>15089.699999999999</v>
      </c>
      <c r="N1348" s="13">
        <f>N1349+N1351</f>
        <v>0</v>
      </c>
      <c r="O1348" s="87">
        <f t="shared" si="285"/>
        <v>15089.699999999999</v>
      </c>
      <c r="P1348" s="13">
        <f>P1349+P1351</f>
        <v>0</v>
      </c>
      <c r="Q1348" s="87">
        <f t="shared" si="279"/>
        <v>15089.699999999999</v>
      </c>
      <c r="R1348" s="13">
        <f>R1349+R1351</f>
        <v>-1213.8</v>
      </c>
      <c r="S1348" s="87">
        <f t="shared" si="277"/>
        <v>13875.9</v>
      </c>
    </row>
    <row r="1349" spans="1:19" ht="33">
      <c r="A1349" s="62" t="str">
        <f ca="1">IF(ISERROR(MATCH(F1349,Код_КВР,0)),"",INDIRECT(ADDRESS(MATCH(F1349,Код_КВР,0)+1,2,,,"КВР")))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9" s="115">
        <v>810</v>
      </c>
      <c r="C1349" s="8" t="s">
        <v>196</v>
      </c>
      <c r="D1349" s="8" t="s">
        <v>225</v>
      </c>
      <c r="E1349" s="115" t="s">
        <v>314</v>
      </c>
      <c r="F1349" s="115">
        <v>100</v>
      </c>
      <c r="G1349" s="70">
        <f>G1350</f>
        <v>14842.3</v>
      </c>
      <c r="H1349" s="70">
        <f>H1350</f>
        <v>0</v>
      </c>
      <c r="I1349" s="70">
        <f t="shared" si="275"/>
        <v>14842.3</v>
      </c>
      <c r="J1349" s="70">
        <f>J1350</f>
        <v>0</v>
      </c>
      <c r="K1349" s="87">
        <f t="shared" si="271"/>
        <v>14842.3</v>
      </c>
      <c r="L1349" s="13">
        <f>L1350</f>
        <v>0</v>
      </c>
      <c r="M1349" s="87">
        <f t="shared" si="284"/>
        <v>14842.3</v>
      </c>
      <c r="N1349" s="13">
        <f>N1350</f>
        <v>0</v>
      </c>
      <c r="O1349" s="87">
        <f t="shared" si="285"/>
        <v>14842.3</v>
      </c>
      <c r="P1349" s="13">
        <f>P1350</f>
        <v>0</v>
      </c>
      <c r="Q1349" s="87">
        <f t="shared" si="279"/>
        <v>14842.3</v>
      </c>
      <c r="R1349" s="13">
        <f>R1350</f>
        <v>-1213.8</v>
      </c>
      <c r="S1349" s="87">
        <f t="shared" si="277"/>
        <v>13628.5</v>
      </c>
    </row>
    <row r="1350" spans="1:19" ht="12.75">
      <c r="A1350" s="62" t="str">
        <f ca="1">IF(ISERROR(MATCH(F1350,Код_КВР,0)),"",INDIRECT(ADDRESS(MATCH(F1350,Код_КВР,0)+1,2,,,"КВР")))</f>
        <v>Расходы на выплаты персоналу муниципальных органов</v>
      </c>
      <c r="B1350" s="115">
        <v>810</v>
      </c>
      <c r="C1350" s="8" t="s">
        <v>196</v>
      </c>
      <c r="D1350" s="8" t="s">
        <v>225</v>
      </c>
      <c r="E1350" s="115" t="s">
        <v>314</v>
      </c>
      <c r="F1350" s="115">
        <v>120</v>
      </c>
      <c r="G1350" s="70">
        <v>14842.3</v>
      </c>
      <c r="H1350" s="70"/>
      <c r="I1350" s="70">
        <f t="shared" si="275"/>
        <v>14842.3</v>
      </c>
      <c r="J1350" s="70"/>
      <c r="K1350" s="87">
        <f t="shared" si="271"/>
        <v>14842.3</v>
      </c>
      <c r="L1350" s="13"/>
      <c r="M1350" s="87">
        <f t="shared" si="284"/>
        <v>14842.3</v>
      </c>
      <c r="N1350" s="13"/>
      <c r="O1350" s="87">
        <f t="shared" si="285"/>
        <v>14842.3</v>
      </c>
      <c r="P1350" s="13"/>
      <c r="Q1350" s="87">
        <f t="shared" si="279"/>
        <v>14842.3</v>
      </c>
      <c r="R1350" s="13">
        <v>-1213.8</v>
      </c>
      <c r="S1350" s="87">
        <f t="shared" si="277"/>
        <v>13628.5</v>
      </c>
    </row>
    <row r="1351" spans="1:19" ht="12.75">
      <c r="A1351" s="62" t="str">
        <f ca="1">IF(ISERROR(MATCH(F1351,Код_КВР,0)),"",INDIRECT(ADDRESS(MATCH(F1351,Код_КВР,0)+1,2,,,"КВР")))</f>
        <v>Закупка товаров, работ и услуг для муниципальных нужд</v>
      </c>
      <c r="B1351" s="115">
        <v>810</v>
      </c>
      <c r="C1351" s="8" t="s">
        <v>196</v>
      </c>
      <c r="D1351" s="8" t="s">
        <v>225</v>
      </c>
      <c r="E1351" s="115" t="s">
        <v>314</v>
      </c>
      <c r="F1351" s="115">
        <v>200</v>
      </c>
      <c r="G1351" s="70">
        <f>G1352</f>
        <v>965.6</v>
      </c>
      <c r="H1351" s="70">
        <f>H1352</f>
        <v>0</v>
      </c>
      <c r="I1351" s="70">
        <f t="shared" si="275"/>
        <v>965.6</v>
      </c>
      <c r="J1351" s="70">
        <f>J1352</f>
        <v>-718.2</v>
      </c>
      <c r="K1351" s="87">
        <f t="shared" si="271"/>
        <v>247.39999999999998</v>
      </c>
      <c r="L1351" s="13">
        <f>L1352</f>
        <v>0</v>
      </c>
      <c r="M1351" s="87">
        <f t="shared" si="284"/>
        <v>247.39999999999998</v>
      </c>
      <c r="N1351" s="13">
        <f>N1352</f>
        <v>0</v>
      </c>
      <c r="O1351" s="87">
        <f t="shared" si="285"/>
        <v>247.39999999999998</v>
      </c>
      <c r="P1351" s="13">
        <f>P1352</f>
        <v>0</v>
      </c>
      <c r="Q1351" s="87">
        <f t="shared" si="279"/>
        <v>247.39999999999998</v>
      </c>
      <c r="R1351" s="13">
        <f>R1352</f>
        <v>0</v>
      </c>
      <c r="S1351" s="87">
        <f t="shared" si="277"/>
        <v>247.39999999999998</v>
      </c>
    </row>
    <row r="1352" spans="1:19" ht="33">
      <c r="A1352" s="62" t="str">
        <f ca="1">IF(ISERROR(MATCH(F1352,Код_КВР,0)),"",INDIRECT(ADDRESS(MATCH(F1352,Код_КВР,0)+1,2,,,"КВР")))</f>
        <v>Иные закупки товаров, работ и услуг для обеспечения муниципальных нужд</v>
      </c>
      <c r="B1352" s="115">
        <v>810</v>
      </c>
      <c r="C1352" s="8" t="s">
        <v>196</v>
      </c>
      <c r="D1352" s="8" t="s">
        <v>225</v>
      </c>
      <c r="E1352" s="115" t="s">
        <v>314</v>
      </c>
      <c r="F1352" s="115">
        <v>240</v>
      </c>
      <c r="G1352" s="70">
        <f>G1353</f>
        <v>965.6</v>
      </c>
      <c r="H1352" s="70">
        <f>H1353</f>
        <v>0</v>
      </c>
      <c r="I1352" s="70">
        <f t="shared" si="275"/>
        <v>965.6</v>
      </c>
      <c r="J1352" s="70">
        <f>J1353</f>
        <v>-718.2</v>
      </c>
      <c r="K1352" s="87">
        <f aca="true" t="shared" si="286" ref="K1352:K1445">I1352+J1352</f>
        <v>247.39999999999998</v>
      </c>
      <c r="L1352" s="13">
        <f>L1353</f>
        <v>0</v>
      </c>
      <c r="M1352" s="87">
        <f t="shared" si="284"/>
        <v>247.39999999999998</v>
      </c>
      <c r="N1352" s="13">
        <f>N1353</f>
        <v>0</v>
      </c>
      <c r="O1352" s="87">
        <f t="shared" si="285"/>
        <v>247.39999999999998</v>
      </c>
      <c r="P1352" s="13">
        <f>P1353</f>
        <v>0</v>
      </c>
      <c r="Q1352" s="87">
        <f t="shared" si="279"/>
        <v>247.39999999999998</v>
      </c>
      <c r="R1352" s="13">
        <f>R1353</f>
        <v>0</v>
      </c>
      <c r="S1352" s="87">
        <f t="shared" si="277"/>
        <v>247.39999999999998</v>
      </c>
    </row>
    <row r="1353" spans="1:19" ht="33">
      <c r="A1353" s="62" t="str">
        <f ca="1">IF(ISERROR(MATCH(F1353,Код_КВР,0)),"",INDIRECT(ADDRESS(MATCH(F1353,Код_КВР,0)+1,2,,,"КВР")))</f>
        <v xml:space="preserve">Прочая закупка товаров, работ и услуг для обеспечения муниципальных нужд         </v>
      </c>
      <c r="B1353" s="115">
        <v>810</v>
      </c>
      <c r="C1353" s="8" t="s">
        <v>196</v>
      </c>
      <c r="D1353" s="8" t="s">
        <v>225</v>
      </c>
      <c r="E1353" s="115" t="s">
        <v>314</v>
      </c>
      <c r="F1353" s="115">
        <v>244</v>
      </c>
      <c r="G1353" s="70">
        <v>965.6</v>
      </c>
      <c r="H1353" s="70"/>
      <c r="I1353" s="70">
        <f t="shared" si="275"/>
        <v>965.6</v>
      </c>
      <c r="J1353" s="70">
        <f>-370.2-348</f>
        <v>-718.2</v>
      </c>
      <c r="K1353" s="87">
        <f t="shared" si="286"/>
        <v>247.39999999999998</v>
      </c>
      <c r="L1353" s="13"/>
      <c r="M1353" s="87">
        <f t="shared" si="284"/>
        <v>247.39999999999998</v>
      </c>
      <c r="N1353" s="13"/>
      <c r="O1353" s="87">
        <f t="shared" si="285"/>
        <v>247.39999999999998</v>
      </c>
      <c r="P1353" s="13"/>
      <c r="Q1353" s="87">
        <f t="shared" si="279"/>
        <v>247.39999999999998</v>
      </c>
      <c r="R1353" s="13"/>
      <c r="S1353" s="87">
        <f t="shared" si="277"/>
        <v>247.39999999999998</v>
      </c>
    </row>
    <row r="1354" spans="1:19" ht="33">
      <c r="A1354" s="62" t="str">
        <f ca="1">IF(ISERROR(MATCH(E1354,Код_КЦСР,0)),"",INDIRECT(ADDRESS(MATCH(E1354,Код_КЦСР,0)+1,2,,,"КЦСР")))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54" s="115">
        <v>810</v>
      </c>
      <c r="C1354" s="8" t="s">
        <v>196</v>
      </c>
      <c r="D1354" s="8" t="s">
        <v>225</v>
      </c>
      <c r="E1354" s="115" t="s">
        <v>409</v>
      </c>
      <c r="F1354" s="115"/>
      <c r="G1354" s="70">
        <f>G1355</f>
        <v>1390</v>
      </c>
      <c r="H1354" s="70">
        <f>H1355</f>
        <v>0</v>
      </c>
      <c r="I1354" s="70">
        <f t="shared" si="275"/>
        <v>1390</v>
      </c>
      <c r="J1354" s="70">
        <f>J1355+J1357</f>
        <v>0</v>
      </c>
      <c r="K1354" s="87">
        <f t="shared" si="286"/>
        <v>1390</v>
      </c>
      <c r="L1354" s="13">
        <f>L1355+L1357</f>
        <v>0</v>
      </c>
      <c r="M1354" s="87">
        <f t="shared" si="284"/>
        <v>1390</v>
      </c>
      <c r="N1354" s="13">
        <f>N1355+N1357</f>
        <v>0</v>
      </c>
      <c r="O1354" s="87">
        <f t="shared" si="285"/>
        <v>1390</v>
      </c>
      <c r="P1354" s="13">
        <f>P1355+P1357</f>
        <v>0</v>
      </c>
      <c r="Q1354" s="87">
        <f t="shared" si="279"/>
        <v>1390</v>
      </c>
      <c r="R1354" s="13">
        <f>R1355+R1357</f>
        <v>0</v>
      </c>
      <c r="S1354" s="87">
        <f t="shared" si="277"/>
        <v>1390</v>
      </c>
    </row>
    <row r="1355" spans="1:19" ht="33">
      <c r="A1355" s="62" t="str">
        <f ca="1">IF(ISERROR(MATCH(F1355,Код_КВР,0)),"",INDIRECT(ADDRESS(MATCH(F1355,Код_КВР,0)+1,2,,,"КВР")))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5" s="115">
        <v>810</v>
      </c>
      <c r="C1355" s="8" t="s">
        <v>196</v>
      </c>
      <c r="D1355" s="8" t="s">
        <v>225</v>
      </c>
      <c r="E1355" s="115" t="s">
        <v>409</v>
      </c>
      <c r="F1355" s="115">
        <v>100</v>
      </c>
      <c r="G1355" s="70">
        <f>G1356</f>
        <v>1390</v>
      </c>
      <c r="H1355" s="70">
        <f>H1356</f>
        <v>0</v>
      </c>
      <c r="I1355" s="70">
        <f t="shared" si="275"/>
        <v>1390</v>
      </c>
      <c r="J1355" s="70">
        <f>J1356</f>
        <v>-435</v>
      </c>
      <c r="K1355" s="87">
        <f t="shared" si="286"/>
        <v>955</v>
      </c>
      <c r="L1355" s="13">
        <f>L1356</f>
        <v>0</v>
      </c>
      <c r="M1355" s="87">
        <f t="shared" si="284"/>
        <v>955</v>
      </c>
      <c r="N1355" s="13">
        <f>N1356</f>
        <v>0</v>
      </c>
      <c r="O1355" s="87">
        <f t="shared" si="285"/>
        <v>955</v>
      </c>
      <c r="P1355" s="13">
        <f>P1356</f>
        <v>0</v>
      </c>
      <c r="Q1355" s="87">
        <f t="shared" si="279"/>
        <v>955</v>
      </c>
      <c r="R1355" s="13">
        <f>R1356</f>
        <v>0</v>
      </c>
      <c r="S1355" s="87">
        <f t="shared" si="277"/>
        <v>955</v>
      </c>
    </row>
    <row r="1356" spans="1:19" ht="12.75">
      <c r="A1356" s="62" t="str">
        <f ca="1">IF(ISERROR(MATCH(F1356,Код_КВР,0)),"",INDIRECT(ADDRESS(MATCH(F1356,Код_КВР,0)+1,2,,,"КВР")))</f>
        <v>Расходы на выплаты персоналу муниципальных органов</v>
      </c>
      <c r="B1356" s="115">
        <v>810</v>
      </c>
      <c r="C1356" s="8" t="s">
        <v>196</v>
      </c>
      <c r="D1356" s="8" t="s">
        <v>225</v>
      </c>
      <c r="E1356" s="115" t="s">
        <v>409</v>
      </c>
      <c r="F1356" s="115">
        <v>120</v>
      </c>
      <c r="G1356" s="70">
        <v>1390</v>
      </c>
      <c r="H1356" s="70"/>
      <c r="I1356" s="70">
        <f t="shared" si="275"/>
        <v>1390</v>
      </c>
      <c r="J1356" s="70">
        <v>-435</v>
      </c>
      <c r="K1356" s="87">
        <f t="shared" si="286"/>
        <v>955</v>
      </c>
      <c r="L1356" s="13"/>
      <c r="M1356" s="87">
        <f t="shared" si="284"/>
        <v>955</v>
      </c>
      <c r="N1356" s="13"/>
      <c r="O1356" s="87">
        <f t="shared" si="285"/>
        <v>955</v>
      </c>
      <c r="P1356" s="13"/>
      <c r="Q1356" s="87">
        <f t="shared" si="279"/>
        <v>955</v>
      </c>
      <c r="R1356" s="13"/>
      <c r="S1356" s="87">
        <f t="shared" si="277"/>
        <v>955</v>
      </c>
    </row>
    <row r="1357" spans="1:19" ht="12.75">
      <c r="A1357" s="62" t="str">
        <f ca="1">IF(ISERROR(MATCH(F1357,Код_КВР,0)),"",INDIRECT(ADDRESS(MATCH(F1357,Код_КВР,0)+1,2,,,"КВР")))</f>
        <v>Закупка товаров, работ и услуг для муниципальных нужд</v>
      </c>
      <c r="B1357" s="115">
        <v>810</v>
      </c>
      <c r="C1357" s="8" t="s">
        <v>196</v>
      </c>
      <c r="D1357" s="8" t="s">
        <v>225</v>
      </c>
      <c r="E1357" s="115" t="s">
        <v>409</v>
      </c>
      <c r="F1357" s="115">
        <v>200</v>
      </c>
      <c r="G1357" s="70"/>
      <c r="H1357" s="70"/>
      <c r="I1357" s="70"/>
      <c r="J1357" s="70">
        <f>J1358</f>
        <v>435</v>
      </c>
      <c r="K1357" s="87">
        <f t="shared" si="286"/>
        <v>435</v>
      </c>
      <c r="L1357" s="13">
        <f>L1358</f>
        <v>0</v>
      </c>
      <c r="M1357" s="87">
        <f t="shared" si="284"/>
        <v>435</v>
      </c>
      <c r="N1357" s="13">
        <f>N1358</f>
        <v>0</v>
      </c>
      <c r="O1357" s="87">
        <f t="shared" si="285"/>
        <v>435</v>
      </c>
      <c r="P1357" s="13">
        <f>P1358</f>
        <v>0</v>
      </c>
      <c r="Q1357" s="87">
        <f t="shared" si="279"/>
        <v>435</v>
      </c>
      <c r="R1357" s="13">
        <f>R1358</f>
        <v>0</v>
      </c>
      <c r="S1357" s="87">
        <f t="shared" si="277"/>
        <v>435</v>
      </c>
    </row>
    <row r="1358" spans="1:19" ht="33">
      <c r="A1358" s="62" t="str">
        <f ca="1">IF(ISERROR(MATCH(F1358,Код_КВР,0)),"",INDIRECT(ADDRESS(MATCH(F1358,Код_КВР,0)+1,2,,,"КВР")))</f>
        <v>Иные закупки товаров, работ и услуг для обеспечения муниципальных нужд</v>
      </c>
      <c r="B1358" s="115">
        <v>810</v>
      </c>
      <c r="C1358" s="8" t="s">
        <v>196</v>
      </c>
      <c r="D1358" s="8" t="s">
        <v>225</v>
      </c>
      <c r="E1358" s="115" t="s">
        <v>409</v>
      </c>
      <c r="F1358" s="115">
        <v>240</v>
      </c>
      <c r="G1358" s="70"/>
      <c r="H1358" s="70"/>
      <c r="I1358" s="70"/>
      <c r="J1358" s="70">
        <f>J1359</f>
        <v>435</v>
      </c>
      <c r="K1358" s="87">
        <f t="shared" si="286"/>
        <v>435</v>
      </c>
      <c r="L1358" s="13">
        <f>L1359</f>
        <v>0</v>
      </c>
      <c r="M1358" s="87">
        <f t="shared" si="284"/>
        <v>435</v>
      </c>
      <c r="N1358" s="13">
        <f>N1359</f>
        <v>0</v>
      </c>
      <c r="O1358" s="87">
        <f t="shared" si="285"/>
        <v>435</v>
      </c>
      <c r="P1358" s="13">
        <f>P1359</f>
        <v>0</v>
      </c>
      <c r="Q1358" s="87">
        <f t="shared" si="279"/>
        <v>435</v>
      </c>
      <c r="R1358" s="13">
        <f>R1359</f>
        <v>0</v>
      </c>
      <c r="S1358" s="87">
        <f t="shared" si="277"/>
        <v>435</v>
      </c>
    </row>
    <row r="1359" spans="1:19" ht="33">
      <c r="A1359" s="62" t="str">
        <f ca="1">IF(ISERROR(MATCH(F1359,Код_КВР,0)),"",INDIRECT(ADDRESS(MATCH(F1359,Код_КВР,0)+1,2,,,"КВР")))</f>
        <v xml:space="preserve">Прочая закупка товаров, работ и услуг для обеспечения муниципальных нужд         </v>
      </c>
      <c r="B1359" s="115">
        <v>810</v>
      </c>
      <c r="C1359" s="8" t="s">
        <v>196</v>
      </c>
      <c r="D1359" s="8" t="s">
        <v>225</v>
      </c>
      <c r="E1359" s="115" t="s">
        <v>409</v>
      </c>
      <c r="F1359" s="115">
        <v>244</v>
      </c>
      <c r="G1359" s="70"/>
      <c r="H1359" s="70"/>
      <c r="I1359" s="70"/>
      <c r="J1359" s="70">
        <v>435</v>
      </c>
      <c r="K1359" s="87">
        <f t="shared" si="286"/>
        <v>435</v>
      </c>
      <c r="L1359" s="13"/>
      <c r="M1359" s="87">
        <f t="shared" si="284"/>
        <v>435</v>
      </c>
      <c r="N1359" s="13"/>
      <c r="O1359" s="87">
        <f t="shared" si="285"/>
        <v>435</v>
      </c>
      <c r="P1359" s="13"/>
      <c r="Q1359" s="87">
        <f t="shared" si="279"/>
        <v>435</v>
      </c>
      <c r="R1359" s="13"/>
      <c r="S1359" s="87">
        <f t="shared" si="277"/>
        <v>435</v>
      </c>
    </row>
    <row r="1360" spans="1:19" ht="82.5">
      <c r="A1360" s="62" t="str">
        <f ca="1">IF(ISERROR(MATCH(E1360,Код_КЦСР,0)),"",INDIRECT(ADDRESS(MATCH(E1360,Код_КЦСР,0)+1,2,,,"КЦСР")))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60" s="115">
        <v>810</v>
      </c>
      <c r="C1360" s="8" t="s">
        <v>196</v>
      </c>
      <c r="D1360" s="8" t="s">
        <v>225</v>
      </c>
      <c r="E1360" s="115" t="s">
        <v>407</v>
      </c>
      <c r="F1360" s="115"/>
      <c r="G1360" s="70">
        <f>G1361+G1363</f>
        <v>21882.500000000004</v>
      </c>
      <c r="H1360" s="70">
        <f>H1361+H1363</f>
        <v>0</v>
      </c>
      <c r="I1360" s="70">
        <f t="shared" si="275"/>
        <v>21882.500000000004</v>
      </c>
      <c r="J1360" s="70">
        <f>J1361+J1363+J1366</f>
        <v>0</v>
      </c>
      <c r="K1360" s="87">
        <f t="shared" si="286"/>
        <v>21882.500000000004</v>
      </c>
      <c r="L1360" s="13">
        <f>L1361+L1363+L1366</f>
        <v>0</v>
      </c>
      <c r="M1360" s="87">
        <f t="shared" si="284"/>
        <v>21882.500000000004</v>
      </c>
      <c r="N1360" s="13">
        <f>N1361+N1363+N1366</f>
        <v>0</v>
      </c>
      <c r="O1360" s="87">
        <f t="shared" si="285"/>
        <v>21882.500000000004</v>
      </c>
      <c r="P1360" s="13">
        <f>P1361+P1363+P1366</f>
        <v>0</v>
      </c>
      <c r="Q1360" s="87">
        <f t="shared" si="279"/>
        <v>21882.500000000004</v>
      </c>
      <c r="R1360" s="13">
        <f>R1361+R1363+R1366</f>
        <v>1534.7</v>
      </c>
      <c r="S1360" s="87">
        <f t="shared" si="277"/>
        <v>23417.200000000004</v>
      </c>
    </row>
    <row r="1361" spans="1:19" ht="33">
      <c r="A1361" s="62" t="str">
        <f ca="1">IF(ISERROR(MATCH(F1361,Код_КВР,0)),"",INDIRECT(ADDRESS(MATCH(F1361,Код_КВР,0)+1,2,,,"КВР")))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1" s="115">
        <v>810</v>
      </c>
      <c r="C1361" s="8" t="s">
        <v>196</v>
      </c>
      <c r="D1361" s="8" t="s">
        <v>225</v>
      </c>
      <c r="E1361" s="115" t="s">
        <v>407</v>
      </c>
      <c r="F1361" s="115">
        <v>100</v>
      </c>
      <c r="G1361" s="70">
        <f>G1362</f>
        <v>20191.300000000003</v>
      </c>
      <c r="H1361" s="70">
        <f>H1362</f>
        <v>0</v>
      </c>
      <c r="I1361" s="70">
        <f t="shared" si="275"/>
        <v>20191.300000000003</v>
      </c>
      <c r="J1361" s="70">
        <f>J1362</f>
        <v>7.5</v>
      </c>
      <c r="K1361" s="87">
        <f t="shared" si="286"/>
        <v>20198.800000000003</v>
      </c>
      <c r="L1361" s="13">
        <f>L1362</f>
        <v>0</v>
      </c>
      <c r="M1361" s="87">
        <f t="shared" si="284"/>
        <v>20198.800000000003</v>
      </c>
      <c r="N1361" s="13">
        <f>N1362</f>
        <v>0</v>
      </c>
      <c r="O1361" s="87">
        <f t="shared" si="285"/>
        <v>20198.800000000003</v>
      </c>
      <c r="P1361" s="13">
        <f>P1362</f>
        <v>0</v>
      </c>
      <c r="Q1361" s="87">
        <f t="shared" si="279"/>
        <v>20198.800000000003</v>
      </c>
      <c r="R1361" s="13">
        <f>R1362</f>
        <v>1240.9</v>
      </c>
      <c r="S1361" s="87">
        <f t="shared" si="277"/>
        <v>21439.700000000004</v>
      </c>
    </row>
    <row r="1362" spans="1:19" ht="12.75">
      <c r="A1362" s="62" t="str">
        <f ca="1">IF(ISERROR(MATCH(F1362,Код_КВР,0)),"",INDIRECT(ADDRESS(MATCH(F1362,Код_КВР,0)+1,2,,,"КВР")))</f>
        <v>Расходы на выплаты персоналу муниципальных органов</v>
      </c>
      <c r="B1362" s="115">
        <v>810</v>
      </c>
      <c r="C1362" s="8" t="s">
        <v>196</v>
      </c>
      <c r="D1362" s="8" t="s">
        <v>225</v>
      </c>
      <c r="E1362" s="115" t="s">
        <v>407</v>
      </c>
      <c r="F1362" s="115">
        <v>120</v>
      </c>
      <c r="G1362" s="70">
        <f>20069.9+121.4</f>
        <v>20191.300000000003</v>
      </c>
      <c r="H1362" s="70"/>
      <c r="I1362" s="70">
        <f t="shared" si="275"/>
        <v>20191.300000000003</v>
      </c>
      <c r="J1362" s="70">
        <v>7.5</v>
      </c>
      <c r="K1362" s="87">
        <f t="shared" si="286"/>
        <v>20198.800000000003</v>
      </c>
      <c r="L1362" s="13"/>
      <c r="M1362" s="87">
        <f t="shared" si="284"/>
        <v>20198.800000000003</v>
      </c>
      <c r="N1362" s="13"/>
      <c r="O1362" s="87">
        <f t="shared" si="285"/>
        <v>20198.800000000003</v>
      </c>
      <c r="P1362" s="13"/>
      <c r="Q1362" s="87">
        <f t="shared" si="279"/>
        <v>20198.800000000003</v>
      </c>
      <c r="R1362" s="13">
        <f>953.1+287.8</f>
        <v>1240.9</v>
      </c>
      <c r="S1362" s="87">
        <f t="shared" si="277"/>
        <v>21439.700000000004</v>
      </c>
    </row>
    <row r="1363" spans="1:19" ht="12.75">
      <c r="A1363" s="62" t="str">
        <f ca="1">IF(ISERROR(MATCH(F1363,Код_КВР,0)),"",INDIRECT(ADDRESS(MATCH(F1363,Код_КВР,0)+1,2,,,"КВР")))</f>
        <v>Закупка товаров, работ и услуг для муниципальных нужд</v>
      </c>
      <c r="B1363" s="115">
        <v>810</v>
      </c>
      <c r="C1363" s="8" t="s">
        <v>196</v>
      </c>
      <c r="D1363" s="8" t="s">
        <v>225</v>
      </c>
      <c r="E1363" s="115" t="s">
        <v>407</v>
      </c>
      <c r="F1363" s="115">
        <v>200</v>
      </c>
      <c r="G1363" s="70">
        <f>G1364</f>
        <v>1691.1999999999998</v>
      </c>
      <c r="H1363" s="70">
        <f>H1364</f>
        <v>0</v>
      </c>
      <c r="I1363" s="70">
        <f t="shared" si="275"/>
        <v>1691.1999999999998</v>
      </c>
      <c r="J1363" s="70">
        <f>J1364</f>
        <v>-24.9</v>
      </c>
      <c r="K1363" s="87">
        <f t="shared" si="286"/>
        <v>1666.2999999999997</v>
      </c>
      <c r="L1363" s="13">
        <f>L1364</f>
        <v>0</v>
      </c>
      <c r="M1363" s="87">
        <f t="shared" si="284"/>
        <v>1666.2999999999997</v>
      </c>
      <c r="N1363" s="13">
        <f>N1364</f>
        <v>0</v>
      </c>
      <c r="O1363" s="87">
        <f t="shared" si="285"/>
        <v>1666.2999999999997</v>
      </c>
      <c r="P1363" s="13">
        <f>P1364</f>
        <v>0</v>
      </c>
      <c r="Q1363" s="87">
        <f t="shared" si="279"/>
        <v>1666.2999999999997</v>
      </c>
      <c r="R1363" s="13">
        <f>R1364</f>
        <v>293.8</v>
      </c>
      <c r="S1363" s="87">
        <f t="shared" si="277"/>
        <v>1960.0999999999997</v>
      </c>
    </row>
    <row r="1364" spans="1:19" ht="33">
      <c r="A1364" s="62" t="str">
        <f ca="1">IF(ISERROR(MATCH(F1364,Код_КВР,0)),"",INDIRECT(ADDRESS(MATCH(F1364,Код_КВР,0)+1,2,,,"КВР")))</f>
        <v>Иные закупки товаров, работ и услуг для обеспечения муниципальных нужд</v>
      </c>
      <c r="B1364" s="115">
        <v>810</v>
      </c>
      <c r="C1364" s="8" t="s">
        <v>196</v>
      </c>
      <c r="D1364" s="8" t="s">
        <v>225</v>
      </c>
      <c r="E1364" s="115" t="s">
        <v>407</v>
      </c>
      <c r="F1364" s="115">
        <v>240</v>
      </c>
      <c r="G1364" s="70">
        <f>G1365</f>
        <v>1691.1999999999998</v>
      </c>
      <c r="H1364" s="70">
        <f>H1365</f>
        <v>0</v>
      </c>
      <c r="I1364" s="70">
        <f t="shared" si="275"/>
        <v>1691.1999999999998</v>
      </c>
      <c r="J1364" s="70">
        <f>J1365</f>
        <v>-24.9</v>
      </c>
      <c r="K1364" s="87">
        <f t="shared" si="286"/>
        <v>1666.2999999999997</v>
      </c>
      <c r="L1364" s="13">
        <f>L1365</f>
        <v>0</v>
      </c>
      <c r="M1364" s="87">
        <f t="shared" si="284"/>
        <v>1666.2999999999997</v>
      </c>
      <c r="N1364" s="13">
        <f>N1365</f>
        <v>0</v>
      </c>
      <c r="O1364" s="87">
        <f t="shared" si="285"/>
        <v>1666.2999999999997</v>
      </c>
      <c r="P1364" s="13">
        <f>P1365</f>
        <v>0</v>
      </c>
      <c r="Q1364" s="87">
        <f t="shared" si="279"/>
        <v>1666.2999999999997</v>
      </c>
      <c r="R1364" s="13">
        <f>R1365</f>
        <v>293.8</v>
      </c>
      <c r="S1364" s="87">
        <f t="shared" si="277"/>
        <v>1960.0999999999997</v>
      </c>
    </row>
    <row r="1365" spans="1:19" ht="33">
      <c r="A1365" s="62" t="str">
        <f ca="1">IF(ISERROR(MATCH(F1365,Код_КВР,0)),"",INDIRECT(ADDRESS(MATCH(F1365,Код_КВР,0)+1,2,,,"КВР")))</f>
        <v xml:space="preserve">Прочая закупка товаров, работ и услуг для обеспечения муниципальных нужд         </v>
      </c>
      <c r="B1365" s="115">
        <v>810</v>
      </c>
      <c r="C1365" s="8" t="s">
        <v>196</v>
      </c>
      <c r="D1365" s="8" t="s">
        <v>225</v>
      </c>
      <c r="E1365" s="115" t="s">
        <v>407</v>
      </c>
      <c r="F1365" s="115">
        <v>244</v>
      </c>
      <c r="G1365" s="70">
        <f>1509.1+182.1</f>
        <v>1691.1999999999998</v>
      </c>
      <c r="H1365" s="70"/>
      <c r="I1365" s="70">
        <f t="shared" si="275"/>
        <v>1691.1999999999998</v>
      </c>
      <c r="J1365" s="70">
        <v>-24.9</v>
      </c>
      <c r="K1365" s="87">
        <f t="shared" si="286"/>
        <v>1666.2999999999997</v>
      </c>
      <c r="L1365" s="13"/>
      <c r="M1365" s="87">
        <f t="shared" si="284"/>
        <v>1666.2999999999997</v>
      </c>
      <c r="N1365" s="13"/>
      <c r="O1365" s="87">
        <f t="shared" si="285"/>
        <v>1666.2999999999997</v>
      </c>
      <c r="P1365" s="13"/>
      <c r="Q1365" s="87">
        <f t="shared" si="279"/>
        <v>1666.2999999999997</v>
      </c>
      <c r="R1365" s="13">
        <f>66.7+171.1+56</f>
        <v>293.8</v>
      </c>
      <c r="S1365" s="87">
        <f aca="true" t="shared" si="287" ref="S1365:S1444">Q1365+R1365</f>
        <v>1960.0999999999997</v>
      </c>
    </row>
    <row r="1366" spans="1:19" ht="12.75">
      <c r="A1366" s="62" t="str">
        <f aca="true" t="shared" si="288" ref="A1366:A1367">IF(ISERROR(MATCH(F1366,Код_КВР,0)),"",INDIRECT(ADDRESS(MATCH(F1366,Код_КВР,0)+1,2,,,"КВР")))</f>
        <v>Иные бюджетные ассигнования</v>
      </c>
      <c r="B1366" s="115">
        <v>810</v>
      </c>
      <c r="C1366" s="8" t="s">
        <v>196</v>
      </c>
      <c r="D1366" s="8" t="s">
        <v>225</v>
      </c>
      <c r="E1366" s="115" t="s">
        <v>407</v>
      </c>
      <c r="F1366" s="115">
        <v>800</v>
      </c>
      <c r="G1366" s="70"/>
      <c r="H1366" s="70"/>
      <c r="I1366" s="70"/>
      <c r="J1366" s="70">
        <f>J1367</f>
        <v>17.4</v>
      </c>
      <c r="K1366" s="87">
        <f t="shared" si="286"/>
        <v>17.4</v>
      </c>
      <c r="L1366" s="13">
        <f>L1367</f>
        <v>0</v>
      </c>
      <c r="M1366" s="87">
        <f t="shared" si="284"/>
        <v>17.4</v>
      </c>
      <c r="N1366" s="13">
        <f>N1367</f>
        <v>0</v>
      </c>
      <c r="O1366" s="87">
        <f t="shared" si="285"/>
        <v>17.4</v>
      </c>
      <c r="P1366" s="13">
        <f>P1367</f>
        <v>0</v>
      </c>
      <c r="Q1366" s="87">
        <f t="shared" si="279"/>
        <v>17.4</v>
      </c>
      <c r="R1366" s="13">
        <f>R1367</f>
        <v>0</v>
      </c>
      <c r="S1366" s="87">
        <f t="shared" si="287"/>
        <v>17.4</v>
      </c>
    </row>
    <row r="1367" spans="1:19" ht="12.75">
      <c r="A1367" s="62" t="str">
        <f ca="1" t="shared" si="288"/>
        <v>Уплата налогов, сборов и иных платежей</v>
      </c>
      <c r="B1367" s="115">
        <v>810</v>
      </c>
      <c r="C1367" s="8" t="s">
        <v>196</v>
      </c>
      <c r="D1367" s="8" t="s">
        <v>225</v>
      </c>
      <c r="E1367" s="115" t="s">
        <v>407</v>
      </c>
      <c r="F1367" s="115">
        <v>850</v>
      </c>
      <c r="G1367" s="70"/>
      <c r="H1367" s="70"/>
      <c r="I1367" s="70"/>
      <c r="J1367" s="70">
        <f>J1368+J1369</f>
        <v>17.4</v>
      </c>
      <c r="K1367" s="87">
        <f t="shared" si="286"/>
        <v>17.4</v>
      </c>
      <c r="L1367" s="13">
        <f>L1368+L1369</f>
        <v>0</v>
      </c>
      <c r="M1367" s="87">
        <f t="shared" si="284"/>
        <v>17.4</v>
      </c>
      <c r="N1367" s="13">
        <f>N1368+N1369</f>
        <v>0</v>
      </c>
      <c r="O1367" s="87">
        <f t="shared" si="285"/>
        <v>17.4</v>
      </c>
      <c r="P1367" s="13">
        <f>P1368+P1369</f>
        <v>0</v>
      </c>
      <c r="Q1367" s="87">
        <f t="shared" si="279"/>
        <v>17.4</v>
      </c>
      <c r="R1367" s="13">
        <f>R1368+R1369</f>
        <v>0</v>
      </c>
      <c r="S1367" s="87">
        <f t="shared" si="287"/>
        <v>17.4</v>
      </c>
    </row>
    <row r="1368" spans="1:19" ht="12.75">
      <c r="A1368" s="62" t="str">
        <f ca="1">IF(ISERROR(MATCH(F1368,Код_КВР,0)),"",INDIRECT(ADDRESS(MATCH(F1368,Код_КВР,0)+1,2,,,"КВР")))</f>
        <v>Уплата налога на имущество организаций и земельного налога</v>
      </c>
      <c r="B1368" s="115">
        <v>810</v>
      </c>
      <c r="C1368" s="8" t="s">
        <v>196</v>
      </c>
      <c r="D1368" s="8" t="s">
        <v>225</v>
      </c>
      <c r="E1368" s="115" t="s">
        <v>407</v>
      </c>
      <c r="F1368" s="115">
        <v>851</v>
      </c>
      <c r="G1368" s="70"/>
      <c r="H1368" s="70"/>
      <c r="I1368" s="70"/>
      <c r="J1368" s="70">
        <v>7.4</v>
      </c>
      <c r="K1368" s="87">
        <f t="shared" si="286"/>
        <v>7.4</v>
      </c>
      <c r="L1368" s="13"/>
      <c r="M1368" s="87">
        <f t="shared" si="284"/>
        <v>7.4</v>
      </c>
      <c r="N1368" s="13"/>
      <c r="O1368" s="87">
        <f t="shared" si="285"/>
        <v>7.4</v>
      </c>
      <c r="P1368" s="13"/>
      <c r="Q1368" s="87">
        <f t="shared" si="279"/>
        <v>7.4</v>
      </c>
      <c r="R1368" s="13"/>
      <c r="S1368" s="87">
        <f t="shared" si="287"/>
        <v>7.4</v>
      </c>
    </row>
    <row r="1369" spans="1:19" ht="12.75">
      <c r="A1369" s="62" t="str">
        <f ca="1">IF(ISERROR(MATCH(F1369,Код_КВР,0)),"",INDIRECT(ADDRESS(MATCH(F1369,Код_КВР,0)+1,2,,,"КВР")))</f>
        <v>Уплата прочих налогов, сборов и иных платежей</v>
      </c>
      <c r="B1369" s="115">
        <v>810</v>
      </c>
      <c r="C1369" s="8" t="s">
        <v>196</v>
      </c>
      <c r="D1369" s="8" t="s">
        <v>225</v>
      </c>
      <c r="E1369" s="115" t="s">
        <v>407</v>
      </c>
      <c r="F1369" s="115">
        <v>852</v>
      </c>
      <c r="G1369" s="70"/>
      <c r="H1369" s="70"/>
      <c r="I1369" s="70"/>
      <c r="J1369" s="70">
        <v>10</v>
      </c>
      <c r="K1369" s="87">
        <f t="shared" si="286"/>
        <v>10</v>
      </c>
      <c r="L1369" s="13"/>
      <c r="M1369" s="87">
        <f t="shared" si="284"/>
        <v>10</v>
      </c>
      <c r="N1369" s="13"/>
      <c r="O1369" s="87">
        <f t="shared" si="285"/>
        <v>10</v>
      </c>
      <c r="P1369" s="13"/>
      <c r="Q1369" s="87">
        <f t="shared" si="279"/>
        <v>10</v>
      </c>
      <c r="R1369" s="13"/>
      <c r="S1369" s="87">
        <f t="shared" si="287"/>
        <v>10</v>
      </c>
    </row>
    <row r="1370" spans="1:19" ht="132">
      <c r="A1370" s="62" t="str">
        <f ca="1">IF(ISERROR(MATCH(E1370,Код_КЦСР,0)),"",INDIRECT(ADDRESS(MATCH(E1370,Код_КЦСР,0)+1,2,,,"КЦСР")))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70" s="115">
        <v>810</v>
      </c>
      <c r="C1370" s="8" t="s">
        <v>196</v>
      </c>
      <c r="D1370" s="8" t="s">
        <v>225</v>
      </c>
      <c r="E1370" s="115" t="s">
        <v>402</v>
      </c>
      <c r="F1370" s="115"/>
      <c r="G1370" s="70">
        <f>G1371+G1373</f>
        <v>2682.5</v>
      </c>
      <c r="H1370" s="70">
        <f>H1371+H1373</f>
        <v>0</v>
      </c>
      <c r="I1370" s="70">
        <f t="shared" si="275"/>
        <v>2682.5</v>
      </c>
      <c r="J1370" s="70">
        <f>J1371+J1373</f>
        <v>0</v>
      </c>
      <c r="K1370" s="87">
        <f t="shared" si="286"/>
        <v>2682.5</v>
      </c>
      <c r="L1370" s="13">
        <f>L1371+L1373</f>
        <v>0</v>
      </c>
      <c r="M1370" s="87">
        <f t="shared" si="284"/>
        <v>2682.5</v>
      </c>
      <c r="N1370" s="13">
        <f>N1371+N1373</f>
        <v>0</v>
      </c>
      <c r="O1370" s="87">
        <f t="shared" si="285"/>
        <v>2682.5</v>
      </c>
      <c r="P1370" s="13">
        <f>P1371+P1373</f>
        <v>0</v>
      </c>
      <c r="Q1370" s="87">
        <f t="shared" si="279"/>
        <v>2682.5</v>
      </c>
      <c r="R1370" s="13">
        <f>R1371+R1373</f>
        <v>0</v>
      </c>
      <c r="S1370" s="87">
        <f t="shared" si="287"/>
        <v>2682.5</v>
      </c>
    </row>
    <row r="1371" spans="1:19" ht="33">
      <c r="A1371" s="62" t="str">
        <f ca="1">IF(ISERROR(MATCH(F1371,Код_КВР,0)),"",INDIRECT(ADDRESS(MATCH(F1371,Код_КВР,0)+1,2,,,"КВР")))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1" s="115">
        <v>810</v>
      </c>
      <c r="C1371" s="8" t="s">
        <v>196</v>
      </c>
      <c r="D1371" s="8" t="s">
        <v>225</v>
      </c>
      <c r="E1371" s="115" t="s">
        <v>402</v>
      </c>
      <c r="F1371" s="115">
        <v>100</v>
      </c>
      <c r="G1371" s="70">
        <f>G1372</f>
        <v>2180.9</v>
      </c>
      <c r="H1371" s="70">
        <f>H1372</f>
        <v>0</v>
      </c>
      <c r="I1371" s="70">
        <f t="shared" si="275"/>
        <v>2180.9</v>
      </c>
      <c r="J1371" s="70">
        <f>J1372</f>
        <v>0</v>
      </c>
      <c r="K1371" s="87">
        <f t="shared" si="286"/>
        <v>2180.9</v>
      </c>
      <c r="L1371" s="13">
        <f>L1372</f>
        <v>0</v>
      </c>
      <c r="M1371" s="87">
        <f t="shared" si="284"/>
        <v>2180.9</v>
      </c>
      <c r="N1371" s="13">
        <f>N1372</f>
        <v>0</v>
      </c>
      <c r="O1371" s="87">
        <f t="shared" si="285"/>
        <v>2180.9</v>
      </c>
      <c r="P1371" s="13">
        <f>P1372</f>
        <v>0</v>
      </c>
      <c r="Q1371" s="87">
        <f t="shared" si="279"/>
        <v>2180.9</v>
      </c>
      <c r="R1371" s="13">
        <f>R1372</f>
        <v>0</v>
      </c>
      <c r="S1371" s="87">
        <f t="shared" si="287"/>
        <v>2180.9</v>
      </c>
    </row>
    <row r="1372" spans="1:19" ht="12.75">
      <c r="A1372" s="62" t="str">
        <f ca="1">IF(ISERROR(MATCH(F1372,Код_КВР,0)),"",INDIRECT(ADDRESS(MATCH(F1372,Код_КВР,0)+1,2,,,"КВР")))</f>
        <v>Расходы на выплаты персоналу муниципальных органов</v>
      </c>
      <c r="B1372" s="115">
        <v>810</v>
      </c>
      <c r="C1372" s="8" t="s">
        <v>196</v>
      </c>
      <c r="D1372" s="8" t="s">
        <v>225</v>
      </c>
      <c r="E1372" s="115" t="s">
        <v>402</v>
      </c>
      <c r="F1372" s="115">
        <v>120</v>
      </c>
      <c r="G1372" s="70">
        <v>2180.9</v>
      </c>
      <c r="H1372" s="70"/>
      <c r="I1372" s="70">
        <f t="shared" si="275"/>
        <v>2180.9</v>
      </c>
      <c r="J1372" s="70"/>
      <c r="K1372" s="87">
        <f t="shared" si="286"/>
        <v>2180.9</v>
      </c>
      <c r="L1372" s="13"/>
      <c r="M1372" s="87">
        <f t="shared" si="284"/>
        <v>2180.9</v>
      </c>
      <c r="N1372" s="13"/>
      <c r="O1372" s="87">
        <f t="shared" si="285"/>
        <v>2180.9</v>
      </c>
      <c r="P1372" s="13"/>
      <c r="Q1372" s="87">
        <f t="shared" si="279"/>
        <v>2180.9</v>
      </c>
      <c r="R1372" s="13"/>
      <c r="S1372" s="87">
        <f t="shared" si="287"/>
        <v>2180.9</v>
      </c>
    </row>
    <row r="1373" spans="1:19" ht="12.75">
      <c r="A1373" s="62" t="str">
        <f ca="1">IF(ISERROR(MATCH(F1373,Код_КВР,0)),"",INDIRECT(ADDRESS(MATCH(F1373,Код_КВР,0)+1,2,,,"КВР")))</f>
        <v>Закупка товаров, работ и услуг для муниципальных нужд</v>
      </c>
      <c r="B1373" s="115">
        <v>810</v>
      </c>
      <c r="C1373" s="8" t="s">
        <v>196</v>
      </c>
      <c r="D1373" s="8" t="s">
        <v>225</v>
      </c>
      <c r="E1373" s="115" t="s">
        <v>402</v>
      </c>
      <c r="F1373" s="115">
        <v>200</v>
      </c>
      <c r="G1373" s="70">
        <f>G1374</f>
        <v>501.6</v>
      </c>
      <c r="H1373" s="70">
        <f>H1374</f>
        <v>0</v>
      </c>
      <c r="I1373" s="70">
        <f t="shared" si="275"/>
        <v>501.6</v>
      </c>
      <c r="J1373" s="70">
        <f>J1374</f>
        <v>0</v>
      </c>
      <c r="K1373" s="87">
        <f t="shared" si="286"/>
        <v>501.6</v>
      </c>
      <c r="L1373" s="13">
        <f>L1374</f>
        <v>0</v>
      </c>
      <c r="M1373" s="87">
        <f t="shared" si="284"/>
        <v>501.6</v>
      </c>
      <c r="N1373" s="13">
        <f>N1374</f>
        <v>0</v>
      </c>
      <c r="O1373" s="87">
        <f t="shared" si="285"/>
        <v>501.6</v>
      </c>
      <c r="P1373" s="13">
        <f>P1374</f>
        <v>0</v>
      </c>
      <c r="Q1373" s="87">
        <f t="shared" si="279"/>
        <v>501.6</v>
      </c>
      <c r="R1373" s="13">
        <f>R1374</f>
        <v>0</v>
      </c>
      <c r="S1373" s="87">
        <f t="shared" si="287"/>
        <v>501.6</v>
      </c>
    </row>
    <row r="1374" spans="1:19" ht="33">
      <c r="A1374" s="62" t="str">
        <f ca="1">IF(ISERROR(MATCH(F1374,Код_КВР,0)),"",INDIRECT(ADDRESS(MATCH(F1374,Код_КВР,0)+1,2,,,"КВР")))</f>
        <v>Иные закупки товаров, работ и услуг для обеспечения муниципальных нужд</v>
      </c>
      <c r="B1374" s="115">
        <v>810</v>
      </c>
      <c r="C1374" s="8" t="s">
        <v>196</v>
      </c>
      <c r="D1374" s="8" t="s">
        <v>225</v>
      </c>
      <c r="E1374" s="115" t="s">
        <v>402</v>
      </c>
      <c r="F1374" s="115">
        <v>240</v>
      </c>
      <c r="G1374" s="70">
        <f>G1375</f>
        <v>501.6</v>
      </c>
      <c r="H1374" s="70">
        <f>H1375</f>
        <v>0</v>
      </c>
      <c r="I1374" s="70">
        <f aca="true" t="shared" si="289" ref="I1374:I1468">G1374+H1374</f>
        <v>501.6</v>
      </c>
      <c r="J1374" s="70">
        <f>J1375</f>
        <v>0</v>
      </c>
      <c r="K1374" s="87">
        <f t="shared" si="286"/>
        <v>501.6</v>
      </c>
      <c r="L1374" s="13">
        <f>L1375</f>
        <v>0</v>
      </c>
      <c r="M1374" s="87">
        <f t="shared" si="284"/>
        <v>501.6</v>
      </c>
      <c r="N1374" s="13">
        <f>N1375</f>
        <v>0</v>
      </c>
      <c r="O1374" s="87">
        <f t="shared" si="285"/>
        <v>501.6</v>
      </c>
      <c r="P1374" s="13">
        <f>P1375</f>
        <v>0</v>
      </c>
      <c r="Q1374" s="87">
        <f aca="true" t="shared" si="290" ref="Q1374:Q1457">O1374+P1374</f>
        <v>501.6</v>
      </c>
      <c r="R1374" s="13">
        <f>R1375</f>
        <v>0</v>
      </c>
      <c r="S1374" s="87">
        <f t="shared" si="287"/>
        <v>501.6</v>
      </c>
    </row>
    <row r="1375" spans="1:19" ht="33">
      <c r="A1375" s="62" t="str">
        <f ca="1">IF(ISERROR(MATCH(F1375,Код_КВР,0)),"",INDIRECT(ADDRESS(MATCH(F1375,Код_КВР,0)+1,2,,,"КВР")))</f>
        <v xml:space="preserve">Прочая закупка товаров, работ и услуг для обеспечения муниципальных нужд         </v>
      </c>
      <c r="B1375" s="115">
        <v>810</v>
      </c>
      <c r="C1375" s="8" t="s">
        <v>196</v>
      </c>
      <c r="D1375" s="8" t="s">
        <v>225</v>
      </c>
      <c r="E1375" s="115" t="s">
        <v>402</v>
      </c>
      <c r="F1375" s="115">
        <v>244</v>
      </c>
      <c r="G1375" s="70">
        <v>501.6</v>
      </c>
      <c r="H1375" s="70"/>
      <c r="I1375" s="70">
        <f t="shared" si="289"/>
        <v>501.6</v>
      </c>
      <c r="J1375" s="70"/>
      <c r="K1375" s="87">
        <f t="shared" si="286"/>
        <v>501.6</v>
      </c>
      <c r="L1375" s="13"/>
      <c r="M1375" s="87">
        <f t="shared" si="284"/>
        <v>501.6</v>
      </c>
      <c r="N1375" s="13"/>
      <c r="O1375" s="87">
        <f t="shared" si="285"/>
        <v>501.6</v>
      </c>
      <c r="P1375" s="13"/>
      <c r="Q1375" s="87">
        <f t="shared" si="290"/>
        <v>501.6</v>
      </c>
      <c r="R1375" s="13"/>
      <c r="S1375" s="87">
        <f t="shared" si="287"/>
        <v>501.6</v>
      </c>
    </row>
    <row r="1376" spans="1:19" ht="82.5">
      <c r="A1376" s="62" t="str">
        <f ca="1">IF(ISERROR(MATCH(E1376,Код_КЦСР,0)),"",INDIRECT(ADDRESS(MATCH(E1376,Код_КЦСР,0)+1,2,,,"КЦСР")))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76" s="115">
        <v>810</v>
      </c>
      <c r="C1376" s="8" t="s">
        <v>196</v>
      </c>
      <c r="D1376" s="8" t="s">
        <v>225</v>
      </c>
      <c r="E1376" s="115" t="s">
        <v>411</v>
      </c>
      <c r="F1376" s="115"/>
      <c r="G1376" s="70">
        <f>G1377+G1379</f>
        <v>902.7</v>
      </c>
      <c r="H1376" s="70">
        <f>H1377+H1379</f>
        <v>0</v>
      </c>
      <c r="I1376" s="70">
        <f t="shared" si="289"/>
        <v>902.7</v>
      </c>
      <c r="J1376" s="70">
        <f>J1377+J1379</f>
        <v>0</v>
      </c>
      <c r="K1376" s="87">
        <f t="shared" si="286"/>
        <v>902.7</v>
      </c>
      <c r="L1376" s="13">
        <f>L1377+L1379</f>
        <v>0</v>
      </c>
      <c r="M1376" s="87">
        <f t="shared" si="284"/>
        <v>902.7</v>
      </c>
      <c r="N1376" s="13">
        <f>N1377+N1379</f>
        <v>0</v>
      </c>
      <c r="O1376" s="87">
        <f t="shared" si="285"/>
        <v>902.7</v>
      </c>
      <c r="P1376" s="13">
        <f>P1377+P1379</f>
        <v>0</v>
      </c>
      <c r="Q1376" s="87">
        <f t="shared" si="290"/>
        <v>902.7</v>
      </c>
      <c r="R1376" s="13">
        <f>R1377+R1379</f>
        <v>-676.7</v>
      </c>
      <c r="S1376" s="87">
        <f t="shared" si="287"/>
        <v>226</v>
      </c>
    </row>
    <row r="1377" spans="1:19" ht="33">
      <c r="A1377" s="62" t="str">
        <f ca="1">IF(ISERROR(MATCH(F1377,Код_КВР,0)),"",INDIRECT(ADDRESS(MATCH(F1377,Код_КВР,0)+1,2,,,"КВР")))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7" s="115">
        <v>810</v>
      </c>
      <c r="C1377" s="8" t="s">
        <v>196</v>
      </c>
      <c r="D1377" s="8" t="s">
        <v>225</v>
      </c>
      <c r="E1377" s="115" t="s">
        <v>411</v>
      </c>
      <c r="F1377" s="115">
        <v>100</v>
      </c>
      <c r="G1377" s="70">
        <f>G1378</f>
        <v>722.2</v>
      </c>
      <c r="H1377" s="70">
        <f>H1378</f>
        <v>0</v>
      </c>
      <c r="I1377" s="70">
        <f t="shared" si="289"/>
        <v>722.2</v>
      </c>
      <c r="J1377" s="70">
        <f>J1378</f>
        <v>0</v>
      </c>
      <c r="K1377" s="87">
        <f t="shared" si="286"/>
        <v>722.2</v>
      </c>
      <c r="L1377" s="13">
        <f>L1378</f>
        <v>0</v>
      </c>
      <c r="M1377" s="87">
        <f t="shared" si="284"/>
        <v>722.2</v>
      </c>
      <c r="N1377" s="13">
        <f>N1378</f>
        <v>0</v>
      </c>
      <c r="O1377" s="87">
        <f t="shared" si="285"/>
        <v>722.2</v>
      </c>
      <c r="P1377" s="13">
        <f>P1378</f>
        <v>0</v>
      </c>
      <c r="Q1377" s="87">
        <f t="shared" si="290"/>
        <v>722.2</v>
      </c>
      <c r="R1377" s="13">
        <f>R1378</f>
        <v>-541.6</v>
      </c>
      <c r="S1377" s="87">
        <f t="shared" si="287"/>
        <v>180.60000000000002</v>
      </c>
    </row>
    <row r="1378" spans="1:19" ht="12.75">
      <c r="A1378" s="62" t="str">
        <f ca="1">IF(ISERROR(MATCH(F1378,Код_КВР,0)),"",INDIRECT(ADDRESS(MATCH(F1378,Код_КВР,0)+1,2,,,"КВР")))</f>
        <v>Расходы на выплаты персоналу муниципальных органов</v>
      </c>
      <c r="B1378" s="115">
        <v>810</v>
      </c>
      <c r="C1378" s="8" t="s">
        <v>196</v>
      </c>
      <c r="D1378" s="8" t="s">
        <v>225</v>
      </c>
      <c r="E1378" s="115" t="s">
        <v>411</v>
      </c>
      <c r="F1378" s="115">
        <v>120</v>
      </c>
      <c r="G1378" s="70">
        <v>722.2</v>
      </c>
      <c r="H1378" s="70"/>
      <c r="I1378" s="70">
        <f t="shared" si="289"/>
        <v>722.2</v>
      </c>
      <c r="J1378" s="70"/>
      <c r="K1378" s="87">
        <f t="shared" si="286"/>
        <v>722.2</v>
      </c>
      <c r="L1378" s="13"/>
      <c r="M1378" s="87">
        <f t="shared" si="284"/>
        <v>722.2</v>
      </c>
      <c r="N1378" s="13"/>
      <c r="O1378" s="87">
        <f t="shared" si="285"/>
        <v>722.2</v>
      </c>
      <c r="P1378" s="13"/>
      <c r="Q1378" s="87">
        <f t="shared" si="290"/>
        <v>722.2</v>
      </c>
      <c r="R1378" s="13">
        <f>-416-125.6</f>
        <v>-541.6</v>
      </c>
      <c r="S1378" s="87">
        <f t="shared" si="287"/>
        <v>180.60000000000002</v>
      </c>
    </row>
    <row r="1379" spans="1:19" ht="12.75">
      <c r="A1379" s="62" t="str">
        <f ca="1">IF(ISERROR(MATCH(F1379,Код_КВР,0)),"",INDIRECT(ADDRESS(MATCH(F1379,Код_КВР,0)+1,2,,,"КВР")))</f>
        <v>Закупка товаров, работ и услуг для муниципальных нужд</v>
      </c>
      <c r="B1379" s="115">
        <v>810</v>
      </c>
      <c r="C1379" s="8" t="s">
        <v>196</v>
      </c>
      <c r="D1379" s="8" t="s">
        <v>225</v>
      </c>
      <c r="E1379" s="115" t="s">
        <v>411</v>
      </c>
      <c r="F1379" s="115">
        <v>200</v>
      </c>
      <c r="G1379" s="70">
        <f>G1380</f>
        <v>180.5</v>
      </c>
      <c r="H1379" s="70">
        <f>H1380</f>
        <v>0</v>
      </c>
      <c r="I1379" s="70">
        <f t="shared" si="289"/>
        <v>180.5</v>
      </c>
      <c r="J1379" s="70">
        <f>J1380</f>
        <v>0</v>
      </c>
      <c r="K1379" s="87">
        <f t="shared" si="286"/>
        <v>180.5</v>
      </c>
      <c r="L1379" s="13">
        <f>L1380</f>
        <v>0</v>
      </c>
      <c r="M1379" s="87">
        <f t="shared" si="284"/>
        <v>180.5</v>
      </c>
      <c r="N1379" s="13">
        <f>N1380</f>
        <v>0</v>
      </c>
      <c r="O1379" s="87">
        <f t="shared" si="285"/>
        <v>180.5</v>
      </c>
      <c r="P1379" s="13">
        <f>P1380</f>
        <v>0</v>
      </c>
      <c r="Q1379" s="87">
        <f t="shared" si="290"/>
        <v>180.5</v>
      </c>
      <c r="R1379" s="13">
        <f>R1380</f>
        <v>-135.1</v>
      </c>
      <c r="S1379" s="87">
        <f t="shared" si="287"/>
        <v>45.400000000000006</v>
      </c>
    </row>
    <row r="1380" spans="1:19" ht="33">
      <c r="A1380" s="62" t="str">
        <f ca="1">IF(ISERROR(MATCH(F1380,Код_КВР,0)),"",INDIRECT(ADDRESS(MATCH(F1380,Код_КВР,0)+1,2,,,"КВР")))</f>
        <v>Иные закупки товаров, работ и услуг для обеспечения муниципальных нужд</v>
      </c>
      <c r="B1380" s="115">
        <v>810</v>
      </c>
      <c r="C1380" s="8" t="s">
        <v>196</v>
      </c>
      <c r="D1380" s="8" t="s">
        <v>225</v>
      </c>
      <c r="E1380" s="115" t="s">
        <v>411</v>
      </c>
      <c r="F1380" s="115">
        <v>240</v>
      </c>
      <c r="G1380" s="70">
        <f>G1381</f>
        <v>180.5</v>
      </c>
      <c r="H1380" s="70">
        <f>H1381</f>
        <v>0</v>
      </c>
      <c r="I1380" s="70">
        <f t="shared" si="289"/>
        <v>180.5</v>
      </c>
      <c r="J1380" s="70">
        <f>J1381</f>
        <v>0</v>
      </c>
      <c r="K1380" s="87">
        <f t="shared" si="286"/>
        <v>180.5</v>
      </c>
      <c r="L1380" s="13">
        <f>L1381</f>
        <v>0</v>
      </c>
      <c r="M1380" s="87">
        <f t="shared" si="284"/>
        <v>180.5</v>
      </c>
      <c r="N1380" s="13">
        <f>N1381</f>
        <v>0</v>
      </c>
      <c r="O1380" s="87">
        <f t="shared" si="285"/>
        <v>180.5</v>
      </c>
      <c r="P1380" s="13">
        <f>P1381</f>
        <v>0</v>
      </c>
      <c r="Q1380" s="87">
        <f t="shared" si="290"/>
        <v>180.5</v>
      </c>
      <c r="R1380" s="13">
        <f>R1381</f>
        <v>-135.1</v>
      </c>
      <c r="S1380" s="87">
        <f t="shared" si="287"/>
        <v>45.400000000000006</v>
      </c>
    </row>
    <row r="1381" spans="1:19" ht="33">
      <c r="A1381" s="62" t="str">
        <f ca="1">IF(ISERROR(MATCH(F1381,Код_КВР,0)),"",INDIRECT(ADDRESS(MATCH(F1381,Код_КВР,0)+1,2,,,"КВР")))</f>
        <v xml:space="preserve">Прочая закупка товаров, работ и услуг для обеспечения муниципальных нужд         </v>
      </c>
      <c r="B1381" s="115">
        <v>810</v>
      </c>
      <c r="C1381" s="8" t="s">
        <v>196</v>
      </c>
      <c r="D1381" s="8" t="s">
        <v>225</v>
      </c>
      <c r="E1381" s="115" t="s">
        <v>411</v>
      </c>
      <c r="F1381" s="115">
        <v>244</v>
      </c>
      <c r="G1381" s="70">
        <v>180.5</v>
      </c>
      <c r="H1381" s="70"/>
      <c r="I1381" s="70">
        <f t="shared" si="289"/>
        <v>180.5</v>
      </c>
      <c r="J1381" s="70"/>
      <c r="K1381" s="87">
        <f t="shared" si="286"/>
        <v>180.5</v>
      </c>
      <c r="L1381" s="13"/>
      <c r="M1381" s="87">
        <f t="shared" si="284"/>
        <v>180.5</v>
      </c>
      <c r="N1381" s="13"/>
      <c r="O1381" s="87">
        <f t="shared" si="285"/>
        <v>180.5</v>
      </c>
      <c r="P1381" s="13"/>
      <c r="Q1381" s="87">
        <f t="shared" si="290"/>
        <v>180.5</v>
      </c>
      <c r="R1381" s="13">
        <f>-10.4-40.5-54.5-29.7</f>
        <v>-135.1</v>
      </c>
      <c r="S1381" s="87">
        <f t="shared" si="287"/>
        <v>45.400000000000006</v>
      </c>
    </row>
    <row r="1382" spans="1:19" ht="12.75">
      <c r="A1382" s="62" t="str">
        <f ca="1">IF(ISERROR(MATCH(B1382,Код_ППП,0)),"",INDIRECT(ADDRESS(MATCH(B1382,Код_ППП,0)+1,2,,,"ППП")))</f>
        <v>КОМИТЕТ ПО УПРАВЛЕНИЮ ИМУЩЕСТВОМ ГОРОДА</v>
      </c>
      <c r="B1382" s="115">
        <v>811</v>
      </c>
      <c r="C1382" s="8"/>
      <c r="D1382" s="8"/>
      <c r="E1382" s="115"/>
      <c r="F1382" s="115"/>
      <c r="G1382" s="70">
        <f>G1383+G1399+G1486+G1511+G1575</f>
        <v>339048.19999999995</v>
      </c>
      <c r="H1382" s="70">
        <f>H1383+H1399+H1486+H1511+H1575</f>
        <v>-15804.3</v>
      </c>
      <c r="I1382" s="70">
        <f t="shared" si="289"/>
        <v>323243.89999999997</v>
      </c>
      <c r="J1382" s="70">
        <f>J1383+J1399+J1486+J1511+J1575</f>
        <v>6019.699999999999</v>
      </c>
      <c r="K1382" s="87">
        <f t="shared" si="286"/>
        <v>329263.6</v>
      </c>
      <c r="L1382" s="13">
        <f>L1383+L1399+L1486+L1511+L1575+L1562</f>
        <v>-487.19999999999936</v>
      </c>
      <c r="M1382" s="87">
        <f t="shared" si="284"/>
        <v>328776.39999999997</v>
      </c>
      <c r="N1382" s="13">
        <f>N1383+N1399+N1486+N1511+N1575+N1562</f>
        <v>841</v>
      </c>
      <c r="O1382" s="87">
        <f t="shared" si="285"/>
        <v>329617.39999999997</v>
      </c>
      <c r="P1382" s="13">
        <f>P1383+P1399+P1486+P1511+P1575+P1562</f>
        <v>3959.5</v>
      </c>
      <c r="Q1382" s="87">
        <f t="shared" si="290"/>
        <v>333576.89999999997</v>
      </c>
      <c r="R1382" s="13">
        <f>R1383+R1399+R1486+R1511+R1575+R1562</f>
        <v>284959.9</v>
      </c>
      <c r="S1382" s="87">
        <f t="shared" si="287"/>
        <v>618536.8</v>
      </c>
    </row>
    <row r="1383" spans="1:19" ht="12.75">
      <c r="A1383" s="62" t="str">
        <f ca="1">IF(ISERROR(MATCH(C1383,Код_Раздел,0)),"",INDIRECT(ADDRESS(MATCH(C1383,Код_Раздел,0)+1,2,,,"Раздел")))</f>
        <v>Общегосударственные  вопросы</v>
      </c>
      <c r="B1383" s="115">
        <v>811</v>
      </c>
      <c r="C1383" s="8" t="s">
        <v>221</v>
      </c>
      <c r="D1383" s="8"/>
      <c r="E1383" s="115"/>
      <c r="F1383" s="115"/>
      <c r="G1383" s="70">
        <f>G1384</f>
        <v>25015.5</v>
      </c>
      <c r="H1383" s="70">
        <f>H1384</f>
        <v>0</v>
      </c>
      <c r="I1383" s="70">
        <f t="shared" si="289"/>
        <v>25015.5</v>
      </c>
      <c r="J1383" s="70">
        <f>J1384</f>
        <v>-7758.6</v>
      </c>
      <c r="K1383" s="87">
        <f t="shared" si="286"/>
        <v>17256.9</v>
      </c>
      <c r="L1383" s="13">
        <f>L1384</f>
        <v>-778.2</v>
      </c>
      <c r="M1383" s="87">
        <f t="shared" si="284"/>
        <v>16478.7</v>
      </c>
      <c r="N1383" s="13">
        <f>N1384</f>
        <v>-365.3</v>
      </c>
      <c r="O1383" s="87">
        <f t="shared" si="285"/>
        <v>16113.400000000001</v>
      </c>
      <c r="P1383" s="13">
        <f>P1384</f>
        <v>0</v>
      </c>
      <c r="Q1383" s="87">
        <f t="shared" si="290"/>
        <v>16113.400000000001</v>
      </c>
      <c r="R1383" s="13">
        <f>R1384</f>
        <v>49.90000000000006</v>
      </c>
      <c r="S1383" s="87">
        <f t="shared" si="287"/>
        <v>16163.300000000001</v>
      </c>
    </row>
    <row r="1384" spans="1:19" ht="12.75">
      <c r="A1384" s="12" t="s">
        <v>245</v>
      </c>
      <c r="B1384" s="115">
        <v>811</v>
      </c>
      <c r="C1384" s="8" t="s">
        <v>221</v>
      </c>
      <c r="D1384" s="8" t="s">
        <v>198</v>
      </c>
      <c r="E1384" s="115"/>
      <c r="F1384" s="115"/>
      <c r="G1384" s="70">
        <f>G1385+G1394</f>
        <v>25015.5</v>
      </c>
      <c r="H1384" s="70">
        <f>H1385+H1394</f>
        <v>0</v>
      </c>
      <c r="I1384" s="70">
        <f t="shared" si="289"/>
        <v>25015.5</v>
      </c>
      <c r="J1384" s="70">
        <f>J1385+J1394</f>
        <v>-7758.6</v>
      </c>
      <c r="K1384" s="87">
        <f t="shared" si="286"/>
        <v>17256.9</v>
      </c>
      <c r="L1384" s="13">
        <f>L1385+L1394</f>
        <v>-778.2</v>
      </c>
      <c r="M1384" s="87">
        <f t="shared" si="284"/>
        <v>16478.7</v>
      </c>
      <c r="N1384" s="13">
        <f>N1385+N1394</f>
        <v>-365.3</v>
      </c>
      <c r="O1384" s="87">
        <f t="shared" si="285"/>
        <v>16113.400000000001</v>
      </c>
      <c r="P1384" s="13">
        <f>P1385+P1394</f>
        <v>0</v>
      </c>
      <c r="Q1384" s="87">
        <f t="shared" si="290"/>
        <v>16113.400000000001</v>
      </c>
      <c r="R1384" s="13">
        <f>R1385+R1394</f>
        <v>49.90000000000006</v>
      </c>
      <c r="S1384" s="87">
        <f t="shared" si="287"/>
        <v>16163.300000000001</v>
      </c>
    </row>
    <row r="1385" spans="1:19" ht="33">
      <c r="A1385" s="62" t="str">
        <f ca="1">IF(ISERROR(MATCH(E1385,Код_КЦСР,0)),"",INDIRECT(ADDRESS(MATCH(E1385,Код_КЦСР,0)+1,2,,,"КЦСР")))</f>
        <v>Муниципальная программа «Развитие земельно-имущественного комплекса  города Череповца» на 2014-2018 годы</v>
      </c>
      <c r="B1385" s="115">
        <v>811</v>
      </c>
      <c r="C1385" s="8" t="s">
        <v>221</v>
      </c>
      <c r="D1385" s="8" t="s">
        <v>198</v>
      </c>
      <c r="E1385" s="115" t="s">
        <v>62</v>
      </c>
      <c r="F1385" s="115"/>
      <c r="G1385" s="70">
        <f>G1386+G1390</f>
        <v>14904.6</v>
      </c>
      <c r="H1385" s="70">
        <f>H1386+H1390</f>
        <v>0</v>
      </c>
      <c r="I1385" s="70">
        <f t="shared" si="289"/>
        <v>14904.6</v>
      </c>
      <c r="J1385" s="70">
        <f>J1386+J1390</f>
        <v>-7758.6</v>
      </c>
      <c r="K1385" s="87">
        <f t="shared" si="286"/>
        <v>7146</v>
      </c>
      <c r="L1385" s="13">
        <f>L1386+L1390</f>
        <v>-778.2</v>
      </c>
      <c r="M1385" s="87">
        <f t="shared" si="284"/>
        <v>6367.8</v>
      </c>
      <c r="N1385" s="13">
        <f>N1386+N1390</f>
        <v>-365.3</v>
      </c>
      <c r="O1385" s="87">
        <f t="shared" si="285"/>
        <v>6002.5</v>
      </c>
      <c r="P1385" s="13">
        <f>P1386+P1390</f>
        <v>0</v>
      </c>
      <c r="Q1385" s="87">
        <f t="shared" si="290"/>
        <v>6002.5</v>
      </c>
      <c r="R1385" s="13">
        <f>R1386+R1390</f>
        <v>49.90000000000006</v>
      </c>
      <c r="S1385" s="87">
        <f t="shared" si="287"/>
        <v>6052.4</v>
      </c>
    </row>
    <row r="1386" spans="1:19" ht="33">
      <c r="A1386" s="62" t="str">
        <f ca="1">IF(ISERROR(MATCH(E1386,Код_КЦСР,0)),"",INDIRECT(ADDRESS(MATCH(E1386,Код_КЦСР,0)+1,2,,,"КЦСР")))</f>
        <v>Формирование и обеспечение сохранности муниципального земельно-имущественного комплекса</v>
      </c>
      <c r="B1386" s="115">
        <v>811</v>
      </c>
      <c r="C1386" s="8" t="s">
        <v>221</v>
      </c>
      <c r="D1386" s="8" t="s">
        <v>198</v>
      </c>
      <c r="E1386" s="115" t="s">
        <v>64</v>
      </c>
      <c r="F1386" s="115"/>
      <c r="G1386" s="70">
        <f aca="true" t="shared" si="291" ref="G1386:R1388">G1387</f>
        <v>10109.5</v>
      </c>
      <c r="H1386" s="70">
        <f t="shared" si="291"/>
        <v>0</v>
      </c>
      <c r="I1386" s="70">
        <f t="shared" si="289"/>
        <v>10109.5</v>
      </c>
      <c r="J1386" s="70">
        <f t="shared" si="291"/>
        <v>-7758.6</v>
      </c>
      <c r="K1386" s="87">
        <f t="shared" si="286"/>
        <v>2350.8999999999996</v>
      </c>
      <c r="L1386" s="13">
        <f t="shared" si="291"/>
        <v>0</v>
      </c>
      <c r="M1386" s="87">
        <f t="shared" si="284"/>
        <v>2350.8999999999996</v>
      </c>
      <c r="N1386" s="13">
        <f t="shared" si="291"/>
        <v>-365.3</v>
      </c>
      <c r="O1386" s="87">
        <f t="shared" si="285"/>
        <v>1985.5999999999997</v>
      </c>
      <c r="P1386" s="13">
        <f t="shared" si="291"/>
        <v>0</v>
      </c>
      <c r="Q1386" s="87">
        <f t="shared" si="290"/>
        <v>1985.5999999999997</v>
      </c>
      <c r="R1386" s="13">
        <f t="shared" si="291"/>
        <v>0</v>
      </c>
      <c r="S1386" s="87">
        <f t="shared" si="287"/>
        <v>1985.5999999999997</v>
      </c>
    </row>
    <row r="1387" spans="1:19" ht="12.75">
      <c r="A1387" s="62" t="str">
        <f ca="1">IF(ISERROR(MATCH(F1387,Код_КВР,0)),"",INDIRECT(ADDRESS(MATCH(F1387,Код_КВР,0)+1,2,,,"КВР")))</f>
        <v>Закупка товаров, работ и услуг для муниципальных нужд</v>
      </c>
      <c r="B1387" s="115">
        <v>811</v>
      </c>
      <c r="C1387" s="8" t="s">
        <v>221</v>
      </c>
      <c r="D1387" s="8" t="s">
        <v>198</v>
      </c>
      <c r="E1387" s="115" t="s">
        <v>64</v>
      </c>
      <c r="F1387" s="115">
        <v>200</v>
      </c>
      <c r="G1387" s="70">
        <f t="shared" si="291"/>
        <v>10109.5</v>
      </c>
      <c r="H1387" s="70">
        <f t="shared" si="291"/>
        <v>0</v>
      </c>
      <c r="I1387" s="70">
        <f t="shared" si="289"/>
        <v>10109.5</v>
      </c>
      <c r="J1387" s="70">
        <f t="shared" si="291"/>
        <v>-7758.6</v>
      </c>
      <c r="K1387" s="87">
        <f t="shared" si="286"/>
        <v>2350.8999999999996</v>
      </c>
      <c r="L1387" s="13">
        <f t="shared" si="291"/>
        <v>0</v>
      </c>
      <c r="M1387" s="87">
        <f t="shared" si="284"/>
        <v>2350.8999999999996</v>
      </c>
      <c r="N1387" s="13">
        <f t="shared" si="291"/>
        <v>-365.3</v>
      </c>
      <c r="O1387" s="87">
        <f t="shared" si="285"/>
        <v>1985.5999999999997</v>
      </c>
      <c r="P1387" s="13">
        <f t="shared" si="291"/>
        <v>0</v>
      </c>
      <c r="Q1387" s="87">
        <f t="shared" si="290"/>
        <v>1985.5999999999997</v>
      </c>
      <c r="R1387" s="13">
        <f t="shared" si="291"/>
        <v>0</v>
      </c>
      <c r="S1387" s="87">
        <f t="shared" si="287"/>
        <v>1985.5999999999997</v>
      </c>
    </row>
    <row r="1388" spans="1:19" ht="33">
      <c r="A1388" s="62" t="str">
        <f ca="1">IF(ISERROR(MATCH(F1388,Код_КВР,0)),"",INDIRECT(ADDRESS(MATCH(F1388,Код_КВР,0)+1,2,,,"КВР")))</f>
        <v>Иные закупки товаров, работ и услуг для обеспечения муниципальных нужд</v>
      </c>
      <c r="B1388" s="115">
        <v>811</v>
      </c>
      <c r="C1388" s="8" t="s">
        <v>221</v>
      </c>
      <c r="D1388" s="8" t="s">
        <v>198</v>
      </c>
      <c r="E1388" s="115" t="s">
        <v>64</v>
      </c>
      <c r="F1388" s="115">
        <v>240</v>
      </c>
      <c r="G1388" s="70">
        <f t="shared" si="291"/>
        <v>10109.5</v>
      </c>
      <c r="H1388" s="70">
        <f t="shared" si="291"/>
        <v>0</v>
      </c>
      <c r="I1388" s="70">
        <f t="shared" si="289"/>
        <v>10109.5</v>
      </c>
      <c r="J1388" s="70">
        <f t="shared" si="291"/>
        <v>-7758.6</v>
      </c>
      <c r="K1388" s="87">
        <f t="shared" si="286"/>
        <v>2350.8999999999996</v>
      </c>
      <c r="L1388" s="13">
        <f t="shared" si="291"/>
        <v>0</v>
      </c>
      <c r="M1388" s="87">
        <f t="shared" si="284"/>
        <v>2350.8999999999996</v>
      </c>
      <c r="N1388" s="13">
        <f t="shared" si="291"/>
        <v>-365.3</v>
      </c>
      <c r="O1388" s="87">
        <f t="shared" si="285"/>
        <v>1985.5999999999997</v>
      </c>
      <c r="P1388" s="13">
        <f t="shared" si="291"/>
        <v>0</v>
      </c>
      <c r="Q1388" s="87">
        <f t="shared" si="290"/>
        <v>1985.5999999999997</v>
      </c>
      <c r="R1388" s="13">
        <f t="shared" si="291"/>
        <v>0</v>
      </c>
      <c r="S1388" s="87">
        <f t="shared" si="287"/>
        <v>1985.5999999999997</v>
      </c>
    </row>
    <row r="1389" spans="1:19" ht="33">
      <c r="A1389" s="62" t="str">
        <f ca="1">IF(ISERROR(MATCH(F1389,Код_КВР,0)),"",INDIRECT(ADDRESS(MATCH(F1389,Код_КВР,0)+1,2,,,"КВР")))</f>
        <v xml:space="preserve">Прочая закупка товаров, работ и услуг для обеспечения муниципальных нужд         </v>
      </c>
      <c r="B1389" s="115">
        <v>811</v>
      </c>
      <c r="C1389" s="8" t="s">
        <v>221</v>
      </c>
      <c r="D1389" s="8" t="s">
        <v>198</v>
      </c>
      <c r="E1389" s="115" t="s">
        <v>64</v>
      </c>
      <c r="F1389" s="115">
        <v>244</v>
      </c>
      <c r="G1389" s="70">
        <v>10109.5</v>
      </c>
      <c r="H1389" s="70"/>
      <c r="I1389" s="70">
        <f t="shared" si="289"/>
        <v>10109.5</v>
      </c>
      <c r="J1389" s="70">
        <v>-7758.6</v>
      </c>
      <c r="K1389" s="87">
        <f t="shared" si="286"/>
        <v>2350.8999999999996</v>
      </c>
      <c r="L1389" s="13"/>
      <c r="M1389" s="87">
        <f t="shared" si="284"/>
        <v>2350.8999999999996</v>
      </c>
      <c r="N1389" s="13">
        <v>-365.3</v>
      </c>
      <c r="O1389" s="87">
        <f t="shared" si="285"/>
        <v>1985.5999999999997</v>
      </c>
      <c r="P1389" s="13"/>
      <c r="Q1389" s="87">
        <f t="shared" si="290"/>
        <v>1985.5999999999997</v>
      </c>
      <c r="R1389" s="13"/>
      <c r="S1389" s="87">
        <f t="shared" si="287"/>
        <v>1985.5999999999997</v>
      </c>
    </row>
    <row r="1390" spans="1:19" ht="33">
      <c r="A1390" s="62" t="str">
        <f ca="1">IF(ISERROR(MATCH(E1390,Код_КЦСР,0)),"",INDIRECT(ADDRESS(MATCH(E1390,Код_КЦСР,0)+1,2,,,"КЦСР")))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390" s="115">
        <v>811</v>
      </c>
      <c r="C1390" s="8" t="s">
        <v>221</v>
      </c>
      <c r="D1390" s="8" t="s">
        <v>198</v>
      </c>
      <c r="E1390" s="115" t="s">
        <v>66</v>
      </c>
      <c r="F1390" s="115"/>
      <c r="G1390" s="70">
        <f aca="true" t="shared" si="292" ref="G1390:R1392">G1391</f>
        <v>4795.1</v>
      </c>
      <c r="H1390" s="70">
        <f t="shared" si="292"/>
        <v>0</v>
      </c>
      <c r="I1390" s="70">
        <f t="shared" si="289"/>
        <v>4795.1</v>
      </c>
      <c r="J1390" s="70">
        <f t="shared" si="292"/>
        <v>0</v>
      </c>
      <c r="K1390" s="87">
        <f t="shared" si="286"/>
        <v>4795.1</v>
      </c>
      <c r="L1390" s="13">
        <f t="shared" si="292"/>
        <v>-778.2</v>
      </c>
      <c r="M1390" s="87">
        <f t="shared" si="284"/>
        <v>4016.9000000000005</v>
      </c>
      <c r="N1390" s="13">
        <f t="shared" si="292"/>
        <v>0</v>
      </c>
      <c r="O1390" s="87">
        <f t="shared" si="285"/>
        <v>4016.9000000000005</v>
      </c>
      <c r="P1390" s="13">
        <f t="shared" si="292"/>
        <v>0</v>
      </c>
      <c r="Q1390" s="87">
        <f t="shared" si="290"/>
        <v>4016.9000000000005</v>
      </c>
      <c r="R1390" s="13">
        <f t="shared" si="292"/>
        <v>49.90000000000006</v>
      </c>
      <c r="S1390" s="87">
        <f t="shared" si="287"/>
        <v>4066.8000000000006</v>
      </c>
    </row>
    <row r="1391" spans="1:19" ht="12.75">
      <c r="A1391" s="62" t="str">
        <f ca="1">IF(ISERROR(MATCH(F1391,Код_КВР,0)),"",INDIRECT(ADDRESS(MATCH(F1391,Код_КВР,0)+1,2,,,"КВР")))</f>
        <v>Закупка товаров, работ и услуг для муниципальных нужд</v>
      </c>
      <c r="B1391" s="115">
        <v>811</v>
      </c>
      <c r="C1391" s="8" t="s">
        <v>221</v>
      </c>
      <c r="D1391" s="8" t="s">
        <v>198</v>
      </c>
      <c r="E1391" s="115" t="s">
        <v>66</v>
      </c>
      <c r="F1391" s="115">
        <v>200</v>
      </c>
      <c r="G1391" s="70">
        <f t="shared" si="292"/>
        <v>4795.1</v>
      </c>
      <c r="H1391" s="70">
        <f t="shared" si="292"/>
        <v>0</v>
      </c>
      <c r="I1391" s="70">
        <f t="shared" si="289"/>
        <v>4795.1</v>
      </c>
      <c r="J1391" s="70">
        <f t="shared" si="292"/>
        <v>0</v>
      </c>
      <c r="K1391" s="87">
        <f t="shared" si="286"/>
        <v>4795.1</v>
      </c>
      <c r="L1391" s="13">
        <f t="shared" si="292"/>
        <v>-778.2</v>
      </c>
      <c r="M1391" s="87">
        <f t="shared" si="284"/>
        <v>4016.9000000000005</v>
      </c>
      <c r="N1391" s="13">
        <f t="shared" si="292"/>
        <v>0</v>
      </c>
      <c r="O1391" s="87">
        <f t="shared" si="285"/>
        <v>4016.9000000000005</v>
      </c>
      <c r="P1391" s="13">
        <f t="shared" si="292"/>
        <v>0</v>
      </c>
      <c r="Q1391" s="87">
        <f t="shared" si="290"/>
        <v>4016.9000000000005</v>
      </c>
      <c r="R1391" s="13">
        <f t="shared" si="292"/>
        <v>49.90000000000006</v>
      </c>
      <c r="S1391" s="87">
        <f t="shared" si="287"/>
        <v>4066.8000000000006</v>
      </c>
    </row>
    <row r="1392" spans="1:19" ht="33">
      <c r="A1392" s="62" t="str">
        <f ca="1">IF(ISERROR(MATCH(F1392,Код_КВР,0)),"",INDIRECT(ADDRESS(MATCH(F1392,Код_КВР,0)+1,2,,,"КВР")))</f>
        <v>Иные закупки товаров, работ и услуг для обеспечения муниципальных нужд</v>
      </c>
      <c r="B1392" s="115">
        <v>811</v>
      </c>
      <c r="C1392" s="8" t="s">
        <v>221</v>
      </c>
      <c r="D1392" s="8" t="s">
        <v>198</v>
      </c>
      <c r="E1392" s="115" t="s">
        <v>66</v>
      </c>
      <c r="F1392" s="115">
        <v>240</v>
      </c>
      <c r="G1392" s="70">
        <f t="shared" si="292"/>
        <v>4795.1</v>
      </c>
      <c r="H1392" s="70">
        <f t="shared" si="292"/>
        <v>0</v>
      </c>
      <c r="I1392" s="70">
        <f t="shared" si="289"/>
        <v>4795.1</v>
      </c>
      <c r="J1392" s="70">
        <f t="shared" si="292"/>
        <v>0</v>
      </c>
      <c r="K1392" s="87">
        <f t="shared" si="286"/>
        <v>4795.1</v>
      </c>
      <c r="L1392" s="13">
        <f t="shared" si="292"/>
        <v>-778.2</v>
      </c>
      <c r="M1392" s="87">
        <f t="shared" si="284"/>
        <v>4016.9000000000005</v>
      </c>
      <c r="N1392" s="13">
        <f t="shared" si="292"/>
        <v>0</v>
      </c>
      <c r="O1392" s="87">
        <f t="shared" si="285"/>
        <v>4016.9000000000005</v>
      </c>
      <c r="P1392" s="13">
        <f t="shared" si="292"/>
        <v>0</v>
      </c>
      <c r="Q1392" s="87">
        <f t="shared" si="290"/>
        <v>4016.9000000000005</v>
      </c>
      <c r="R1392" s="13">
        <f t="shared" si="292"/>
        <v>49.90000000000006</v>
      </c>
      <c r="S1392" s="87">
        <f t="shared" si="287"/>
        <v>4066.8000000000006</v>
      </c>
    </row>
    <row r="1393" spans="1:19" ht="33">
      <c r="A1393" s="62" t="str">
        <f ca="1">IF(ISERROR(MATCH(F1393,Код_КВР,0)),"",INDIRECT(ADDRESS(MATCH(F1393,Код_КВР,0)+1,2,,,"КВР")))</f>
        <v xml:space="preserve">Прочая закупка товаров, работ и услуг для обеспечения муниципальных нужд         </v>
      </c>
      <c r="B1393" s="115">
        <v>811</v>
      </c>
      <c r="C1393" s="8" t="s">
        <v>221</v>
      </c>
      <c r="D1393" s="8" t="s">
        <v>198</v>
      </c>
      <c r="E1393" s="115" t="s">
        <v>66</v>
      </c>
      <c r="F1393" s="115">
        <v>244</v>
      </c>
      <c r="G1393" s="70">
        <v>4795.1</v>
      </c>
      <c r="H1393" s="70"/>
      <c r="I1393" s="70">
        <f t="shared" si="289"/>
        <v>4795.1</v>
      </c>
      <c r="J1393" s="70"/>
      <c r="K1393" s="87">
        <f t="shared" si="286"/>
        <v>4795.1</v>
      </c>
      <c r="L1393" s="13">
        <f>-208.8-100-469.4</f>
        <v>-778.2</v>
      </c>
      <c r="M1393" s="87">
        <f t="shared" si="284"/>
        <v>4016.9000000000005</v>
      </c>
      <c r="N1393" s="13"/>
      <c r="O1393" s="87">
        <f t="shared" si="285"/>
        <v>4016.9000000000005</v>
      </c>
      <c r="P1393" s="13"/>
      <c r="Q1393" s="87">
        <f t="shared" si="290"/>
        <v>4016.9000000000005</v>
      </c>
      <c r="R1393" s="13">
        <f>733.7-676.9-3.7-0.1-1.9-1.2</f>
        <v>49.90000000000006</v>
      </c>
      <c r="S1393" s="87">
        <f t="shared" si="287"/>
        <v>4066.8000000000006</v>
      </c>
    </row>
    <row r="1394" spans="1:19" ht="49.5">
      <c r="A1394" s="62" t="str">
        <f ca="1">IF(ISERROR(MATCH(E1394,Код_КЦСР,0)),"",INDIRECT(ADDRESS(MATCH(E1394,Код_КЦСР,0)+1,2,,,"КЦСР")))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94" s="115">
        <v>811</v>
      </c>
      <c r="C1394" s="8" t="s">
        <v>221</v>
      </c>
      <c r="D1394" s="8" t="s">
        <v>198</v>
      </c>
      <c r="E1394" s="115" t="s">
        <v>70</v>
      </c>
      <c r="F1394" s="115"/>
      <c r="G1394" s="70">
        <f aca="true" t="shared" si="293" ref="G1394:R1397">G1395</f>
        <v>10110.9</v>
      </c>
      <c r="H1394" s="70">
        <f t="shared" si="293"/>
        <v>0</v>
      </c>
      <c r="I1394" s="70">
        <f t="shared" si="289"/>
        <v>10110.9</v>
      </c>
      <c r="J1394" s="70">
        <f t="shared" si="293"/>
        <v>0</v>
      </c>
      <c r="K1394" s="87">
        <f t="shared" si="286"/>
        <v>10110.9</v>
      </c>
      <c r="L1394" s="13">
        <f t="shared" si="293"/>
        <v>0</v>
      </c>
      <c r="M1394" s="87">
        <f t="shared" si="284"/>
        <v>10110.9</v>
      </c>
      <c r="N1394" s="13">
        <f t="shared" si="293"/>
        <v>0</v>
      </c>
      <c r="O1394" s="87">
        <f t="shared" si="285"/>
        <v>10110.9</v>
      </c>
      <c r="P1394" s="13">
        <f t="shared" si="293"/>
        <v>0</v>
      </c>
      <c r="Q1394" s="87">
        <f t="shared" si="290"/>
        <v>10110.9</v>
      </c>
      <c r="R1394" s="13">
        <f t="shared" si="293"/>
        <v>0</v>
      </c>
      <c r="S1394" s="87">
        <f t="shared" si="287"/>
        <v>10110.9</v>
      </c>
    </row>
    <row r="1395" spans="1:19" ht="12.75">
      <c r="A1395" s="62" t="str">
        <f ca="1">IF(ISERROR(MATCH(E1395,Код_КЦСР,0)),"",INDIRECT(ADDRESS(MATCH(E1395,Код_КЦСР,0)+1,2,,,"КЦСР")))</f>
        <v>Капитальный ремонт  объектов муниципальной собственности</v>
      </c>
      <c r="B1395" s="115">
        <v>811</v>
      </c>
      <c r="C1395" s="8" t="s">
        <v>221</v>
      </c>
      <c r="D1395" s="8" t="s">
        <v>198</v>
      </c>
      <c r="E1395" s="115" t="s">
        <v>78</v>
      </c>
      <c r="F1395" s="115"/>
      <c r="G1395" s="70">
        <f t="shared" si="293"/>
        <v>10110.9</v>
      </c>
      <c r="H1395" s="70">
        <f t="shared" si="293"/>
        <v>0</v>
      </c>
      <c r="I1395" s="70">
        <f t="shared" si="289"/>
        <v>10110.9</v>
      </c>
      <c r="J1395" s="70">
        <f t="shared" si="293"/>
        <v>0</v>
      </c>
      <c r="K1395" s="87">
        <f t="shared" si="286"/>
        <v>10110.9</v>
      </c>
      <c r="L1395" s="13">
        <f t="shared" si="293"/>
        <v>0</v>
      </c>
      <c r="M1395" s="87">
        <f t="shared" si="284"/>
        <v>10110.9</v>
      </c>
      <c r="N1395" s="13">
        <f t="shared" si="293"/>
        <v>0</v>
      </c>
      <c r="O1395" s="87">
        <f t="shared" si="285"/>
        <v>10110.9</v>
      </c>
      <c r="P1395" s="13">
        <f t="shared" si="293"/>
        <v>0</v>
      </c>
      <c r="Q1395" s="87">
        <f t="shared" si="290"/>
        <v>10110.9</v>
      </c>
      <c r="R1395" s="13">
        <f t="shared" si="293"/>
        <v>0</v>
      </c>
      <c r="S1395" s="87">
        <f t="shared" si="287"/>
        <v>10110.9</v>
      </c>
    </row>
    <row r="1396" spans="1:19" ht="12.75">
      <c r="A1396" s="62" t="str">
        <f ca="1">IF(ISERROR(MATCH(F1396,Код_КВР,0)),"",INDIRECT(ADDRESS(MATCH(F1396,Код_КВР,0)+1,2,,,"КВР")))</f>
        <v>Закупка товаров, работ и услуг для муниципальных нужд</v>
      </c>
      <c r="B1396" s="115">
        <v>811</v>
      </c>
      <c r="C1396" s="8" t="s">
        <v>221</v>
      </c>
      <c r="D1396" s="8" t="s">
        <v>198</v>
      </c>
      <c r="E1396" s="115" t="s">
        <v>78</v>
      </c>
      <c r="F1396" s="115">
        <v>200</v>
      </c>
      <c r="G1396" s="70">
        <f t="shared" si="293"/>
        <v>10110.9</v>
      </c>
      <c r="H1396" s="70">
        <f t="shared" si="293"/>
        <v>0</v>
      </c>
      <c r="I1396" s="70">
        <f t="shared" si="289"/>
        <v>10110.9</v>
      </c>
      <c r="J1396" s="70">
        <f t="shared" si="293"/>
        <v>0</v>
      </c>
      <c r="K1396" s="87">
        <f t="shared" si="286"/>
        <v>10110.9</v>
      </c>
      <c r="L1396" s="13">
        <f t="shared" si="293"/>
        <v>0</v>
      </c>
      <c r="M1396" s="87">
        <f t="shared" si="284"/>
        <v>10110.9</v>
      </c>
      <c r="N1396" s="13">
        <f t="shared" si="293"/>
        <v>0</v>
      </c>
      <c r="O1396" s="87">
        <f t="shared" si="285"/>
        <v>10110.9</v>
      </c>
      <c r="P1396" s="13">
        <f t="shared" si="293"/>
        <v>0</v>
      </c>
      <c r="Q1396" s="87">
        <f t="shared" si="290"/>
        <v>10110.9</v>
      </c>
      <c r="R1396" s="13">
        <f t="shared" si="293"/>
        <v>0</v>
      </c>
      <c r="S1396" s="87">
        <f t="shared" si="287"/>
        <v>10110.9</v>
      </c>
    </row>
    <row r="1397" spans="1:19" ht="33">
      <c r="A1397" s="62" t="str">
        <f ca="1">IF(ISERROR(MATCH(F1397,Код_КВР,0)),"",INDIRECT(ADDRESS(MATCH(F1397,Код_КВР,0)+1,2,,,"КВР")))</f>
        <v>Иные закупки товаров, работ и услуг для обеспечения муниципальных нужд</v>
      </c>
      <c r="B1397" s="115">
        <v>811</v>
      </c>
      <c r="C1397" s="8" t="s">
        <v>221</v>
      </c>
      <c r="D1397" s="8" t="s">
        <v>198</v>
      </c>
      <c r="E1397" s="115" t="s">
        <v>78</v>
      </c>
      <c r="F1397" s="115">
        <v>240</v>
      </c>
      <c r="G1397" s="70">
        <f t="shared" si="293"/>
        <v>10110.9</v>
      </c>
      <c r="H1397" s="70">
        <f t="shared" si="293"/>
        <v>0</v>
      </c>
      <c r="I1397" s="70">
        <f t="shared" si="289"/>
        <v>10110.9</v>
      </c>
      <c r="J1397" s="70">
        <f t="shared" si="293"/>
        <v>0</v>
      </c>
      <c r="K1397" s="87">
        <f t="shared" si="286"/>
        <v>10110.9</v>
      </c>
      <c r="L1397" s="13">
        <f t="shared" si="293"/>
        <v>0</v>
      </c>
      <c r="M1397" s="87">
        <f t="shared" si="284"/>
        <v>10110.9</v>
      </c>
      <c r="N1397" s="13">
        <f t="shared" si="293"/>
        <v>0</v>
      </c>
      <c r="O1397" s="87">
        <f t="shared" si="285"/>
        <v>10110.9</v>
      </c>
      <c r="P1397" s="13">
        <f t="shared" si="293"/>
        <v>0</v>
      </c>
      <c r="Q1397" s="87">
        <f t="shared" si="290"/>
        <v>10110.9</v>
      </c>
      <c r="R1397" s="13">
        <f t="shared" si="293"/>
        <v>0</v>
      </c>
      <c r="S1397" s="87">
        <f t="shared" si="287"/>
        <v>10110.9</v>
      </c>
    </row>
    <row r="1398" spans="1:19" ht="33">
      <c r="A1398" s="62" t="str">
        <f ca="1">IF(ISERROR(MATCH(F1398,Код_КВР,0)),"",INDIRECT(ADDRESS(MATCH(F1398,Код_КВР,0)+1,2,,,"КВР")))</f>
        <v>Закупка товаров, работ, услуг в целях капитального ремонта муниципального имущества</v>
      </c>
      <c r="B1398" s="115">
        <v>811</v>
      </c>
      <c r="C1398" s="8" t="s">
        <v>221</v>
      </c>
      <c r="D1398" s="8" t="s">
        <v>198</v>
      </c>
      <c r="E1398" s="115" t="s">
        <v>78</v>
      </c>
      <c r="F1398" s="115">
        <v>243</v>
      </c>
      <c r="G1398" s="70">
        <v>10110.9</v>
      </c>
      <c r="H1398" s="70"/>
      <c r="I1398" s="70">
        <f t="shared" si="289"/>
        <v>10110.9</v>
      </c>
      <c r="J1398" s="70"/>
      <c r="K1398" s="87">
        <f t="shared" si="286"/>
        <v>10110.9</v>
      </c>
      <c r="L1398" s="13"/>
      <c r="M1398" s="87">
        <f t="shared" si="284"/>
        <v>10110.9</v>
      </c>
      <c r="N1398" s="13"/>
      <c r="O1398" s="87">
        <f t="shared" si="285"/>
        <v>10110.9</v>
      </c>
      <c r="P1398" s="13"/>
      <c r="Q1398" s="87">
        <f t="shared" si="290"/>
        <v>10110.9</v>
      </c>
      <c r="R1398" s="13"/>
      <c r="S1398" s="87">
        <f t="shared" si="287"/>
        <v>10110.9</v>
      </c>
    </row>
    <row r="1399" spans="1:19" ht="12.75">
      <c r="A1399" s="62" t="str">
        <f ca="1">IF(ISERROR(MATCH(C1399,Код_Раздел,0)),"",INDIRECT(ADDRESS(MATCH(C1399,Код_Раздел,0)+1,2,,,"Раздел")))</f>
        <v>Национальная экономика</v>
      </c>
      <c r="B1399" s="115">
        <v>811</v>
      </c>
      <c r="C1399" s="8" t="s">
        <v>224</v>
      </c>
      <c r="D1399" s="8"/>
      <c r="E1399" s="115"/>
      <c r="F1399" s="115"/>
      <c r="G1399" s="70">
        <f>G1400+G1411+G1441</f>
        <v>172390.99999999997</v>
      </c>
      <c r="H1399" s="70">
        <f>H1400+H1411+H1441</f>
        <v>-15804.3</v>
      </c>
      <c r="I1399" s="70">
        <f t="shared" si="289"/>
        <v>156586.69999999998</v>
      </c>
      <c r="J1399" s="70">
        <f>J1400+J1411+J1441</f>
        <v>0</v>
      </c>
      <c r="K1399" s="87">
        <f t="shared" si="286"/>
        <v>156586.69999999998</v>
      </c>
      <c r="L1399" s="13">
        <f>L1400+L1411+L1441+L1434</f>
        <v>3322.3</v>
      </c>
      <c r="M1399" s="87">
        <f t="shared" si="284"/>
        <v>159908.99999999997</v>
      </c>
      <c r="N1399" s="13">
        <f>N1400+N1411+N1441+N1434</f>
        <v>-2635.8999999999996</v>
      </c>
      <c r="O1399" s="87">
        <f t="shared" si="285"/>
        <v>157273.09999999998</v>
      </c>
      <c r="P1399" s="13">
        <f>P1400+P1411+P1441+P1434</f>
        <v>0</v>
      </c>
      <c r="Q1399" s="87">
        <f t="shared" si="290"/>
        <v>157273.09999999998</v>
      </c>
      <c r="R1399" s="13">
        <f>R1400+R1411+R1441+R1434</f>
        <v>7540.6</v>
      </c>
      <c r="S1399" s="87">
        <f t="shared" si="287"/>
        <v>164813.69999999998</v>
      </c>
    </row>
    <row r="1400" spans="1:19" ht="12.75">
      <c r="A1400" s="79" t="s">
        <v>369</v>
      </c>
      <c r="B1400" s="115">
        <v>811</v>
      </c>
      <c r="C1400" s="8" t="s">
        <v>224</v>
      </c>
      <c r="D1400" s="8" t="s">
        <v>230</v>
      </c>
      <c r="E1400" s="115"/>
      <c r="F1400" s="115"/>
      <c r="G1400" s="70">
        <f>G1401+G1406</f>
        <v>82953.9</v>
      </c>
      <c r="H1400" s="70">
        <f>H1401+H1406</f>
        <v>-15804.3</v>
      </c>
      <c r="I1400" s="70">
        <f t="shared" si="289"/>
        <v>67149.59999999999</v>
      </c>
      <c r="J1400" s="70">
        <f>J1401+J1406</f>
        <v>0</v>
      </c>
      <c r="K1400" s="87">
        <f t="shared" si="286"/>
        <v>67149.59999999999</v>
      </c>
      <c r="L1400" s="13">
        <f>L1401+L1406</f>
        <v>0</v>
      </c>
      <c r="M1400" s="87">
        <f t="shared" si="284"/>
        <v>67149.59999999999</v>
      </c>
      <c r="N1400" s="13">
        <f>N1401+N1406</f>
        <v>-2565.7</v>
      </c>
      <c r="O1400" s="87">
        <f t="shared" si="285"/>
        <v>64583.899999999994</v>
      </c>
      <c r="P1400" s="13">
        <f>P1401+P1406</f>
        <v>0</v>
      </c>
      <c r="Q1400" s="87">
        <f t="shared" si="290"/>
        <v>64583.899999999994</v>
      </c>
      <c r="R1400" s="13">
        <f>R1401+R1406</f>
        <v>-49.9</v>
      </c>
      <c r="S1400" s="87">
        <f t="shared" si="287"/>
        <v>64533.99999999999</v>
      </c>
    </row>
    <row r="1401" spans="1:19" ht="33">
      <c r="A1401" s="62" t="str">
        <f ca="1">IF(ISERROR(MATCH(E1401,Код_КЦСР,0)),"",INDIRECT(ADDRESS(MATCH(E1401,Код_КЦСР,0)+1,2,,,"КЦСР")))</f>
        <v>Муниципальная программа «Развитие городского общественного транспорта» на 2014-2016 годы</v>
      </c>
      <c r="B1401" s="115">
        <v>811</v>
      </c>
      <c r="C1401" s="8" t="s">
        <v>224</v>
      </c>
      <c r="D1401" s="8" t="s">
        <v>230</v>
      </c>
      <c r="E1401" s="115" t="s">
        <v>39</v>
      </c>
      <c r="F1401" s="115"/>
      <c r="G1401" s="70">
        <f aca="true" t="shared" si="294" ref="G1401:R1404">G1402</f>
        <v>18724.9</v>
      </c>
      <c r="H1401" s="70">
        <f t="shared" si="294"/>
        <v>0</v>
      </c>
      <c r="I1401" s="70">
        <f t="shared" si="289"/>
        <v>18724.9</v>
      </c>
      <c r="J1401" s="70">
        <f t="shared" si="294"/>
        <v>0</v>
      </c>
      <c r="K1401" s="87">
        <f t="shared" si="286"/>
        <v>18724.9</v>
      </c>
      <c r="L1401" s="13">
        <f t="shared" si="294"/>
        <v>0</v>
      </c>
      <c r="M1401" s="87">
        <f t="shared" si="284"/>
        <v>18724.9</v>
      </c>
      <c r="N1401" s="13">
        <f t="shared" si="294"/>
        <v>0</v>
      </c>
      <c r="O1401" s="87">
        <f t="shared" si="285"/>
        <v>18724.9</v>
      </c>
      <c r="P1401" s="13">
        <f t="shared" si="294"/>
        <v>0</v>
      </c>
      <c r="Q1401" s="87">
        <f t="shared" si="290"/>
        <v>18724.9</v>
      </c>
      <c r="R1401" s="13">
        <f t="shared" si="294"/>
        <v>0</v>
      </c>
      <c r="S1401" s="87">
        <f t="shared" si="287"/>
        <v>18724.9</v>
      </c>
    </row>
    <row r="1402" spans="1:19" ht="12.75">
      <c r="A1402" s="62" t="str">
        <f ca="1">IF(ISERROR(MATCH(E1402,Код_КЦСР,0)),"",INDIRECT(ADDRESS(MATCH(E1402,Код_КЦСР,0)+1,2,,,"КЦСР")))</f>
        <v>Приобретение автобусов в муниципальную собственность</v>
      </c>
      <c r="B1402" s="115">
        <v>811</v>
      </c>
      <c r="C1402" s="8" t="s">
        <v>224</v>
      </c>
      <c r="D1402" s="8" t="s">
        <v>230</v>
      </c>
      <c r="E1402" s="115" t="s">
        <v>41</v>
      </c>
      <c r="F1402" s="115"/>
      <c r="G1402" s="70">
        <f t="shared" si="294"/>
        <v>18724.9</v>
      </c>
      <c r="H1402" s="70">
        <f t="shared" si="294"/>
        <v>0</v>
      </c>
      <c r="I1402" s="70">
        <f t="shared" si="289"/>
        <v>18724.9</v>
      </c>
      <c r="J1402" s="70">
        <f t="shared" si="294"/>
        <v>0</v>
      </c>
      <c r="K1402" s="87">
        <f t="shared" si="286"/>
        <v>18724.9</v>
      </c>
      <c r="L1402" s="13">
        <f t="shared" si="294"/>
        <v>0</v>
      </c>
      <c r="M1402" s="87">
        <f t="shared" si="284"/>
        <v>18724.9</v>
      </c>
      <c r="N1402" s="13">
        <f t="shared" si="294"/>
        <v>0</v>
      </c>
      <c r="O1402" s="87">
        <f t="shared" si="285"/>
        <v>18724.9</v>
      </c>
      <c r="P1402" s="13">
        <f t="shared" si="294"/>
        <v>0</v>
      </c>
      <c r="Q1402" s="87">
        <f t="shared" si="290"/>
        <v>18724.9</v>
      </c>
      <c r="R1402" s="13">
        <f t="shared" si="294"/>
        <v>0</v>
      </c>
      <c r="S1402" s="87">
        <f t="shared" si="287"/>
        <v>18724.9</v>
      </c>
    </row>
    <row r="1403" spans="1:19" ht="12.75">
      <c r="A1403" s="62" t="str">
        <f ca="1">IF(ISERROR(MATCH(F1403,Код_КВР,0)),"",INDIRECT(ADDRESS(MATCH(F1403,Код_КВР,0)+1,2,,,"КВР")))</f>
        <v>Закупка товаров, работ и услуг для муниципальных нужд</v>
      </c>
      <c r="B1403" s="115">
        <v>811</v>
      </c>
      <c r="C1403" s="8" t="s">
        <v>224</v>
      </c>
      <c r="D1403" s="8" t="s">
        <v>230</v>
      </c>
      <c r="E1403" s="115" t="s">
        <v>41</v>
      </c>
      <c r="F1403" s="115">
        <v>200</v>
      </c>
      <c r="G1403" s="70">
        <f t="shared" si="294"/>
        <v>18724.9</v>
      </c>
      <c r="H1403" s="70">
        <f t="shared" si="294"/>
        <v>0</v>
      </c>
      <c r="I1403" s="70">
        <f t="shared" si="289"/>
        <v>18724.9</v>
      </c>
      <c r="J1403" s="70">
        <f t="shared" si="294"/>
        <v>0</v>
      </c>
      <c r="K1403" s="87">
        <f t="shared" si="286"/>
        <v>18724.9</v>
      </c>
      <c r="L1403" s="13">
        <f t="shared" si="294"/>
        <v>0</v>
      </c>
      <c r="M1403" s="87">
        <f t="shared" si="284"/>
        <v>18724.9</v>
      </c>
      <c r="N1403" s="13">
        <f t="shared" si="294"/>
        <v>0</v>
      </c>
      <c r="O1403" s="87">
        <f t="shared" si="285"/>
        <v>18724.9</v>
      </c>
      <c r="P1403" s="13">
        <f t="shared" si="294"/>
        <v>0</v>
      </c>
      <c r="Q1403" s="87">
        <f t="shared" si="290"/>
        <v>18724.9</v>
      </c>
      <c r="R1403" s="13">
        <f t="shared" si="294"/>
        <v>0</v>
      </c>
      <c r="S1403" s="87">
        <f t="shared" si="287"/>
        <v>18724.9</v>
      </c>
    </row>
    <row r="1404" spans="1:19" ht="33">
      <c r="A1404" s="62" t="str">
        <f ca="1">IF(ISERROR(MATCH(F1404,Код_КВР,0)),"",INDIRECT(ADDRESS(MATCH(F1404,Код_КВР,0)+1,2,,,"КВР")))</f>
        <v>Иные закупки товаров, работ и услуг для обеспечения муниципальных нужд</v>
      </c>
      <c r="B1404" s="115">
        <v>811</v>
      </c>
      <c r="C1404" s="8" t="s">
        <v>224</v>
      </c>
      <c r="D1404" s="8" t="s">
        <v>230</v>
      </c>
      <c r="E1404" s="115" t="s">
        <v>41</v>
      </c>
      <c r="F1404" s="115">
        <v>240</v>
      </c>
      <c r="G1404" s="70">
        <f t="shared" si="294"/>
        <v>18724.9</v>
      </c>
      <c r="H1404" s="70">
        <f t="shared" si="294"/>
        <v>0</v>
      </c>
      <c r="I1404" s="70">
        <f t="shared" si="289"/>
        <v>18724.9</v>
      </c>
      <c r="J1404" s="70">
        <f t="shared" si="294"/>
        <v>0</v>
      </c>
      <c r="K1404" s="87">
        <f t="shared" si="286"/>
        <v>18724.9</v>
      </c>
      <c r="L1404" s="13">
        <f t="shared" si="294"/>
        <v>0</v>
      </c>
      <c r="M1404" s="87">
        <f t="shared" si="284"/>
        <v>18724.9</v>
      </c>
      <c r="N1404" s="13">
        <f t="shared" si="294"/>
        <v>0</v>
      </c>
      <c r="O1404" s="87">
        <f t="shared" si="285"/>
        <v>18724.9</v>
      </c>
      <c r="P1404" s="13">
        <f t="shared" si="294"/>
        <v>0</v>
      </c>
      <c r="Q1404" s="87">
        <f t="shared" si="290"/>
        <v>18724.9</v>
      </c>
      <c r="R1404" s="13">
        <f t="shared" si="294"/>
        <v>0</v>
      </c>
      <c r="S1404" s="87">
        <f t="shared" si="287"/>
        <v>18724.9</v>
      </c>
    </row>
    <row r="1405" spans="1:19" ht="33">
      <c r="A1405" s="62" t="str">
        <f ca="1">IF(ISERROR(MATCH(F1405,Код_КВР,0)),"",INDIRECT(ADDRESS(MATCH(F1405,Код_КВР,0)+1,2,,,"КВР")))</f>
        <v xml:space="preserve">Прочая закупка товаров, работ и услуг для обеспечения муниципальных нужд         </v>
      </c>
      <c r="B1405" s="115">
        <v>811</v>
      </c>
      <c r="C1405" s="8" t="s">
        <v>224</v>
      </c>
      <c r="D1405" s="8" t="s">
        <v>230</v>
      </c>
      <c r="E1405" s="115" t="s">
        <v>41</v>
      </c>
      <c r="F1405" s="115">
        <v>244</v>
      </c>
      <c r="G1405" s="70">
        <v>18724.9</v>
      </c>
      <c r="H1405" s="70"/>
      <c r="I1405" s="70">
        <f t="shared" si="289"/>
        <v>18724.9</v>
      </c>
      <c r="J1405" s="70"/>
      <c r="K1405" s="87">
        <f t="shared" si="286"/>
        <v>18724.9</v>
      </c>
      <c r="L1405" s="13"/>
      <c r="M1405" s="87">
        <f aca="true" t="shared" si="295" ref="M1405:M1505">K1405+L1405</f>
        <v>18724.9</v>
      </c>
      <c r="N1405" s="13"/>
      <c r="O1405" s="87">
        <f aca="true" t="shared" si="296" ref="O1405:O1505">M1405+N1405</f>
        <v>18724.9</v>
      </c>
      <c r="P1405" s="13"/>
      <c r="Q1405" s="87">
        <f t="shared" si="290"/>
        <v>18724.9</v>
      </c>
      <c r="R1405" s="13"/>
      <c r="S1405" s="87">
        <f t="shared" si="287"/>
        <v>18724.9</v>
      </c>
    </row>
    <row r="1406" spans="1:19" ht="33">
      <c r="A1406" s="62" t="str">
        <f ca="1">IF(ISERROR(MATCH(E1406,Код_КЦСР,0)),"",INDIRECT(ADDRESS(MATCH(E1406,Код_КЦСР,0)+1,2,,,"КЦСР")))</f>
        <v>Муниципальная программа «Развитие земельно-имущественного комплекса  города Череповца» на 2014-2018 годы</v>
      </c>
      <c r="B1406" s="115">
        <v>811</v>
      </c>
      <c r="C1406" s="8" t="s">
        <v>224</v>
      </c>
      <c r="D1406" s="8" t="s">
        <v>230</v>
      </c>
      <c r="E1406" s="115" t="s">
        <v>62</v>
      </c>
      <c r="F1406" s="115"/>
      <c r="G1406" s="70">
        <f aca="true" t="shared" si="297" ref="G1406:R1409">G1407</f>
        <v>64229</v>
      </c>
      <c r="H1406" s="70">
        <f t="shared" si="297"/>
        <v>-15804.3</v>
      </c>
      <c r="I1406" s="70">
        <f t="shared" si="289"/>
        <v>48424.7</v>
      </c>
      <c r="J1406" s="70">
        <f t="shared" si="297"/>
        <v>0</v>
      </c>
      <c r="K1406" s="87">
        <f t="shared" si="286"/>
        <v>48424.7</v>
      </c>
      <c r="L1406" s="13">
        <f t="shared" si="297"/>
        <v>0</v>
      </c>
      <c r="M1406" s="87">
        <f t="shared" si="295"/>
        <v>48424.7</v>
      </c>
      <c r="N1406" s="13">
        <f t="shared" si="297"/>
        <v>-2565.7</v>
      </c>
      <c r="O1406" s="87">
        <f t="shared" si="296"/>
        <v>45859</v>
      </c>
      <c r="P1406" s="13">
        <f t="shared" si="297"/>
        <v>0</v>
      </c>
      <c r="Q1406" s="87">
        <f t="shared" si="290"/>
        <v>45859</v>
      </c>
      <c r="R1406" s="13">
        <f t="shared" si="297"/>
        <v>-49.9</v>
      </c>
      <c r="S1406" s="87">
        <f t="shared" si="287"/>
        <v>45809.1</v>
      </c>
    </row>
    <row r="1407" spans="1:19" ht="33">
      <c r="A1407" s="62" t="str">
        <f ca="1">IF(ISERROR(MATCH(E1407,Код_КЦСР,0)),"",INDIRECT(ADDRESS(MATCH(E1407,Код_КЦСР,0)+1,2,,,"КЦСР")))</f>
        <v>Формирование и обеспечение сохранности муниципального земельно-имущественного комплекса</v>
      </c>
      <c r="B1407" s="115">
        <v>811</v>
      </c>
      <c r="C1407" s="8" t="s">
        <v>224</v>
      </c>
      <c r="D1407" s="8" t="s">
        <v>230</v>
      </c>
      <c r="E1407" s="115" t="s">
        <v>64</v>
      </c>
      <c r="F1407" s="115"/>
      <c r="G1407" s="70">
        <f t="shared" si="297"/>
        <v>64229</v>
      </c>
      <c r="H1407" s="70">
        <f t="shared" si="297"/>
        <v>-15804.3</v>
      </c>
      <c r="I1407" s="70">
        <f t="shared" si="289"/>
        <v>48424.7</v>
      </c>
      <c r="J1407" s="70">
        <f t="shared" si="297"/>
        <v>0</v>
      </c>
      <c r="K1407" s="87">
        <f t="shared" si="286"/>
        <v>48424.7</v>
      </c>
      <c r="L1407" s="13">
        <f t="shared" si="297"/>
        <v>0</v>
      </c>
      <c r="M1407" s="87">
        <f t="shared" si="295"/>
        <v>48424.7</v>
      </c>
      <c r="N1407" s="13">
        <f t="shared" si="297"/>
        <v>-2565.7</v>
      </c>
      <c r="O1407" s="87">
        <f t="shared" si="296"/>
        <v>45859</v>
      </c>
      <c r="P1407" s="13">
        <f t="shared" si="297"/>
        <v>0</v>
      </c>
      <c r="Q1407" s="87">
        <f t="shared" si="290"/>
        <v>45859</v>
      </c>
      <c r="R1407" s="13">
        <f t="shared" si="297"/>
        <v>-49.9</v>
      </c>
      <c r="S1407" s="87">
        <f t="shared" si="287"/>
        <v>45809.1</v>
      </c>
    </row>
    <row r="1408" spans="1:19" ht="12.75">
      <c r="A1408" s="62" t="str">
        <f ca="1">IF(ISERROR(MATCH(F1408,Код_КВР,0)),"",INDIRECT(ADDRESS(MATCH(F1408,Код_КВР,0)+1,2,,,"КВР")))</f>
        <v>Закупка товаров, работ и услуг для муниципальных нужд</v>
      </c>
      <c r="B1408" s="115">
        <v>811</v>
      </c>
      <c r="C1408" s="8" t="s">
        <v>224</v>
      </c>
      <c r="D1408" s="8" t="s">
        <v>230</v>
      </c>
      <c r="E1408" s="115" t="s">
        <v>64</v>
      </c>
      <c r="F1408" s="115">
        <v>200</v>
      </c>
      <c r="G1408" s="70">
        <f t="shared" si="297"/>
        <v>64229</v>
      </c>
      <c r="H1408" s="70">
        <f t="shared" si="297"/>
        <v>-15804.3</v>
      </c>
      <c r="I1408" s="70">
        <f t="shared" si="289"/>
        <v>48424.7</v>
      </c>
      <c r="J1408" s="70">
        <f t="shared" si="297"/>
        <v>0</v>
      </c>
      <c r="K1408" s="87">
        <f t="shared" si="286"/>
        <v>48424.7</v>
      </c>
      <c r="L1408" s="13">
        <f t="shared" si="297"/>
        <v>0</v>
      </c>
      <c r="M1408" s="87">
        <f t="shared" si="295"/>
        <v>48424.7</v>
      </c>
      <c r="N1408" s="13">
        <f t="shared" si="297"/>
        <v>-2565.7</v>
      </c>
      <c r="O1408" s="87">
        <f t="shared" si="296"/>
        <v>45859</v>
      </c>
      <c r="P1408" s="13">
        <f t="shared" si="297"/>
        <v>0</v>
      </c>
      <c r="Q1408" s="87">
        <f t="shared" si="290"/>
        <v>45859</v>
      </c>
      <c r="R1408" s="13">
        <f t="shared" si="297"/>
        <v>-49.9</v>
      </c>
      <c r="S1408" s="87">
        <f t="shared" si="287"/>
        <v>45809.1</v>
      </c>
    </row>
    <row r="1409" spans="1:19" ht="33">
      <c r="A1409" s="62" t="str">
        <f ca="1">IF(ISERROR(MATCH(F1409,Код_КВР,0)),"",INDIRECT(ADDRESS(MATCH(F1409,Код_КВР,0)+1,2,,,"КВР")))</f>
        <v>Иные закупки товаров, работ и услуг для обеспечения муниципальных нужд</v>
      </c>
      <c r="B1409" s="115">
        <v>811</v>
      </c>
      <c r="C1409" s="8" t="s">
        <v>224</v>
      </c>
      <c r="D1409" s="8" t="s">
        <v>230</v>
      </c>
      <c r="E1409" s="115" t="s">
        <v>64</v>
      </c>
      <c r="F1409" s="115">
        <v>240</v>
      </c>
      <c r="G1409" s="70">
        <f t="shared" si="297"/>
        <v>64229</v>
      </c>
      <c r="H1409" s="70">
        <f t="shared" si="297"/>
        <v>-15804.3</v>
      </c>
      <c r="I1409" s="70">
        <f t="shared" si="289"/>
        <v>48424.7</v>
      </c>
      <c r="J1409" s="70">
        <f t="shared" si="297"/>
        <v>0</v>
      </c>
      <c r="K1409" s="87">
        <f t="shared" si="286"/>
        <v>48424.7</v>
      </c>
      <c r="L1409" s="13">
        <f t="shared" si="297"/>
        <v>0</v>
      </c>
      <c r="M1409" s="87">
        <f t="shared" si="295"/>
        <v>48424.7</v>
      </c>
      <c r="N1409" s="13">
        <f t="shared" si="297"/>
        <v>-2565.7</v>
      </c>
      <c r="O1409" s="87">
        <f t="shared" si="296"/>
        <v>45859</v>
      </c>
      <c r="P1409" s="13">
        <f t="shared" si="297"/>
        <v>0</v>
      </c>
      <c r="Q1409" s="87">
        <f t="shared" si="290"/>
        <v>45859</v>
      </c>
      <c r="R1409" s="13">
        <f t="shared" si="297"/>
        <v>-49.9</v>
      </c>
      <c r="S1409" s="87">
        <f t="shared" si="287"/>
        <v>45809.1</v>
      </c>
    </row>
    <row r="1410" spans="1:19" ht="33">
      <c r="A1410" s="62" t="str">
        <f ca="1">IF(ISERROR(MATCH(F1410,Код_КВР,0)),"",INDIRECT(ADDRESS(MATCH(F1410,Код_КВР,0)+1,2,,,"КВР")))</f>
        <v xml:space="preserve">Прочая закупка товаров, работ и услуг для обеспечения муниципальных нужд         </v>
      </c>
      <c r="B1410" s="115">
        <v>811</v>
      </c>
      <c r="C1410" s="8" t="s">
        <v>224</v>
      </c>
      <c r="D1410" s="8" t="s">
        <v>230</v>
      </c>
      <c r="E1410" s="115" t="s">
        <v>64</v>
      </c>
      <c r="F1410" s="115">
        <v>244</v>
      </c>
      <c r="G1410" s="70">
        <v>64229</v>
      </c>
      <c r="H1410" s="70">
        <v>-15804.3</v>
      </c>
      <c r="I1410" s="70">
        <f t="shared" si="289"/>
        <v>48424.7</v>
      </c>
      <c r="J1410" s="70"/>
      <c r="K1410" s="87">
        <f t="shared" si="286"/>
        <v>48424.7</v>
      </c>
      <c r="L1410" s="13"/>
      <c r="M1410" s="87">
        <f t="shared" si="295"/>
        <v>48424.7</v>
      </c>
      <c r="N1410" s="13">
        <v>-2565.7</v>
      </c>
      <c r="O1410" s="87">
        <f t="shared" si="296"/>
        <v>45859</v>
      </c>
      <c r="P1410" s="13"/>
      <c r="Q1410" s="87">
        <f t="shared" si="290"/>
        <v>45859</v>
      </c>
      <c r="R1410" s="13">
        <v>-49.9</v>
      </c>
      <c r="S1410" s="87">
        <f t="shared" si="287"/>
        <v>45809.1</v>
      </c>
    </row>
    <row r="1411" spans="1:19" ht="12.75">
      <c r="A1411" s="79" t="s">
        <v>188</v>
      </c>
      <c r="B1411" s="115">
        <v>811</v>
      </c>
      <c r="C1411" s="8" t="s">
        <v>224</v>
      </c>
      <c r="D1411" s="8" t="s">
        <v>227</v>
      </c>
      <c r="E1411" s="115"/>
      <c r="F1411" s="115"/>
      <c r="G1411" s="70">
        <f aca="true" t="shared" si="298" ref="G1411:R1416">G1412</f>
        <v>2004.9</v>
      </c>
      <c r="H1411" s="70">
        <f t="shared" si="298"/>
        <v>0</v>
      </c>
      <c r="I1411" s="70">
        <f t="shared" si="289"/>
        <v>2004.9</v>
      </c>
      <c r="J1411" s="70">
        <f t="shared" si="298"/>
        <v>-594.6</v>
      </c>
      <c r="K1411" s="87">
        <f t="shared" si="286"/>
        <v>1410.3000000000002</v>
      </c>
      <c r="L1411" s="13">
        <f t="shared" si="298"/>
        <v>2159</v>
      </c>
      <c r="M1411" s="87">
        <f t="shared" si="295"/>
        <v>3569.3</v>
      </c>
      <c r="N1411" s="13">
        <f t="shared" si="298"/>
        <v>0</v>
      </c>
      <c r="O1411" s="87">
        <f t="shared" si="296"/>
        <v>3569.3</v>
      </c>
      <c r="P1411" s="13">
        <f t="shared" si="298"/>
        <v>0</v>
      </c>
      <c r="Q1411" s="87">
        <f t="shared" si="290"/>
        <v>3569.3</v>
      </c>
      <c r="R1411" s="13">
        <f t="shared" si="298"/>
        <v>4378.7</v>
      </c>
      <c r="S1411" s="87">
        <f t="shared" si="287"/>
        <v>7948</v>
      </c>
    </row>
    <row r="1412" spans="1:19" ht="49.5">
      <c r="A1412" s="62" t="str">
        <f ca="1">IF(ISERROR(MATCH(E1412,Код_КЦСР,0)),"",INDIRECT(ADDRESS(MATCH(E1412,Код_КЦСР,0)+1,2,,,"КЦСР")))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12" s="115">
        <v>811</v>
      </c>
      <c r="C1412" s="8" t="s">
        <v>224</v>
      </c>
      <c r="D1412" s="8" t="s">
        <v>227</v>
      </c>
      <c r="E1412" s="115" t="s">
        <v>70</v>
      </c>
      <c r="F1412" s="115"/>
      <c r="G1412" s="70">
        <f t="shared" si="298"/>
        <v>2004.9</v>
      </c>
      <c r="H1412" s="70">
        <f t="shared" si="298"/>
        <v>0</v>
      </c>
      <c r="I1412" s="70">
        <f t="shared" si="289"/>
        <v>2004.9</v>
      </c>
      <c r="J1412" s="70">
        <f t="shared" si="298"/>
        <v>-594.6</v>
      </c>
      <c r="K1412" s="87">
        <f t="shared" si="286"/>
        <v>1410.3000000000002</v>
      </c>
      <c r="L1412" s="13">
        <f t="shared" si="298"/>
        <v>2159</v>
      </c>
      <c r="M1412" s="87">
        <f t="shared" si="295"/>
        <v>3569.3</v>
      </c>
      <c r="N1412" s="13">
        <f t="shared" si="298"/>
        <v>0</v>
      </c>
      <c r="O1412" s="87">
        <f t="shared" si="296"/>
        <v>3569.3</v>
      </c>
      <c r="P1412" s="13">
        <f t="shared" si="298"/>
        <v>0</v>
      </c>
      <c r="Q1412" s="87">
        <f t="shared" si="290"/>
        <v>3569.3</v>
      </c>
      <c r="R1412" s="13">
        <f>R1413</f>
        <v>4378.7</v>
      </c>
      <c r="S1412" s="87">
        <f t="shared" si="287"/>
        <v>7948</v>
      </c>
    </row>
    <row r="1413" spans="1:19" ht="33">
      <c r="A1413" s="62" t="str">
        <f ca="1">IF(ISERROR(MATCH(E1413,Код_КЦСР,0)),"",INDIRECT(ADDRESS(MATCH(E1413,Код_КЦСР,0)+1,2,,,"КЦСР")))</f>
        <v>Капитальное строительство и реконструкция объектов муниципальной собственности</v>
      </c>
      <c r="B1413" s="115">
        <v>811</v>
      </c>
      <c r="C1413" s="8" t="s">
        <v>224</v>
      </c>
      <c r="D1413" s="8" t="s">
        <v>227</v>
      </c>
      <c r="E1413" s="115" t="s">
        <v>72</v>
      </c>
      <c r="F1413" s="115"/>
      <c r="G1413" s="70">
        <f t="shared" si="298"/>
        <v>2004.9</v>
      </c>
      <c r="H1413" s="70">
        <f t="shared" si="298"/>
        <v>0</v>
      </c>
      <c r="I1413" s="70">
        <f t="shared" si="289"/>
        <v>2004.9</v>
      </c>
      <c r="J1413" s="70">
        <f t="shared" si="298"/>
        <v>-594.6</v>
      </c>
      <c r="K1413" s="87">
        <f t="shared" si="286"/>
        <v>1410.3000000000002</v>
      </c>
      <c r="L1413" s="13">
        <f t="shared" si="298"/>
        <v>2159</v>
      </c>
      <c r="M1413" s="87">
        <f t="shared" si="295"/>
        <v>3569.3</v>
      </c>
      <c r="N1413" s="13">
        <f t="shared" si="298"/>
        <v>0</v>
      </c>
      <c r="O1413" s="87">
        <f t="shared" si="296"/>
        <v>3569.3</v>
      </c>
      <c r="P1413" s="13">
        <f t="shared" si="298"/>
        <v>0</v>
      </c>
      <c r="Q1413" s="87">
        <f t="shared" si="290"/>
        <v>3569.3</v>
      </c>
      <c r="R1413" s="13">
        <f>R1414+R1418+R1422+R1426+R1430</f>
        <v>4378.7</v>
      </c>
      <c r="S1413" s="87">
        <f t="shared" si="287"/>
        <v>7948</v>
      </c>
    </row>
    <row r="1414" spans="1:19" ht="12.75">
      <c r="A1414" s="62" t="str">
        <f ca="1">IF(ISERROR(MATCH(E1414,Код_КЦСР,0)),"",INDIRECT(ADDRESS(MATCH(E1414,Код_КЦСР,0)+1,2,,,"КЦСР")))</f>
        <v>Строительство объектов сметной стоимостью до 100 млн. рублей</v>
      </c>
      <c r="B1414" s="115">
        <v>811</v>
      </c>
      <c r="C1414" s="8" t="s">
        <v>224</v>
      </c>
      <c r="D1414" s="8" t="s">
        <v>227</v>
      </c>
      <c r="E1414" s="115" t="s">
        <v>73</v>
      </c>
      <c r="F1414" s="115"/>
      <c r="G1414" s="70">
        <f t="shared" si="298"/>
        <v>2004.9</v>
      </c>
      <c r="H1414" s="70">
        <f t="shared" si="298"/>
        <v>0</v>
      </c>
      <c r="I1414" s="70">
        <f t="shared" si="289"/>
        <v>2004.9</v>
      </c>
      <c r="J1414" s="70">
        <f t="shared" si="298"/>
        <v>-594.6</v>
      </c>
      <c r="K1414" s="87">
        <f t="shared" si="286"/>
        <v>1410.3000000000002</v>
      </c>
      <c r="L1414" s="13">
        <f t="shared" si="298"/>
        <v>2159</v>
      </c>
      <c r="M1414" s="87">
        <f t="shared" si="295"/>
        <v>3569.3</v>
      </c>
      <c r="N1414" s="13">
        <f t="shared" si="298"/>
        <v>0</v>
      </c>
      <c r="O1414" s="87">
        <f t="shared" si="296"/>
        <v>3569.3</v>
      </c>
      <c r="P1414" s="13">
        <f t="shared" si="298"/>
        <v>0</v>
      </c>
      <c r="Q1414" s="87">
        <f t="shared" si="290"/>
        <v>3569.3</v>
      </c>
      <c r="R1414" s="13">
        <f t="shared" si="298"/>
        <v>806.1999999999999</v>
      </c>
      <c r="S1414" s="87">
        <f t="shared" si="287"/>
        <v>4375.5</v>
      </c>
    </row>
    <row r="1415" spans="1:19" ht="33">
      <c r="A1415" s="62" t="str">
        <f ca="1">IF(ISERROR(MATCH(F1415,Код_КВР,0)),"",INDIRECT(ADDRESS(MATCH(F1415,Код_КВР,0)+1,2,,,"КВР")))</f>
        <v>Капитальные вложения в объекты недвижимого имущества муниципальной собственности</v>
      </c>
      <c r="B1415" s="115">
        <v>811</v>
      </c>
      <c r="C1415" s="8" t="s">
        <v>224</v>
      </c>
      <c r="D1415" s="8" t="s">
        <v>227</v>
      </c>
      <c r="E1415" s="115" t="s">
        <v>73</v>
      </c>
      <c r="F1415" s="115">
        <v>400</v>
      </c>
      <c r="G1415" s="70">
        <f t="shared" si="298"/>
        <v>2004.9</v>
      </c>
      <c r="H1415" s="70">
        <f t="shared" si="298"/>
        <v>0</v>
      </c>
      <c r="I1415" s="70">
        <f t="shared" si="289"/>
        <v>2004.9</v>
      </c>
      <c r="J1415" s="70">
        <f t="shared" si="298"/>
        <v>-594.6</v>
      </c>
      <c r="K1415" s="87">
        <f t="shared" si="286"/>
        <v>1410.3000000000002</v>
      </c>
      <c r="L1415" s="13">
        <f t="shared" si="298"/>
        <v>2159</v>
      </c>
      <c r="M1415" s="87">
        <f t="shared" si="295"/>
        <v>3569.3</v>
      </c>
      <c r="N1415" s="13">
        <f t="shared" si="298"/>
        <v>0</v>
      </c>
      <c r="O1415" s="87">
        <f t="shared" si="296"/>
        <v>3569.3</v>
      </c>
      <c r="P1415" s="13">
        <f t="shared" si="298"/>
        <v>0</v>
      </c>
      <c r="Q1415" s="87">
        <f t="shared" si="290"/>
        <v>3569.3</v>
      </c>
      <c r="R1415" s="13">
        <f t="shared" si="298"/>
        <v>806.1999999999999</v>
      </c>
      <c r="S1415" s="87">
        <f t="shared" si="287"/>
        <v>4375.5</v>
      </c>
    </row>
    <row r="1416" spans="1:19" ht="12.75">
      <c r="A1416" s="62" t="str">
        <f ca="1">IF(ISERROR(MATCH(F1416,Код_КВР,0)),"",INDIRECT(ADDRESS(MATCH(F1416,Код_КВР,0)+1,2,,,"КВР")))</f>
        <v>Бюджетные инвестиции</v>
      </c>
      <c r="B1416" s="115">
        <v>811</v>
      </c>
      <c r="C1416" s="8" t="s">
        <v>224</v>
      </c>
      <c r="D1416" s="8" t="s">
        <v>227</v>
      </c>
      <c r="E1416" s="115" t="s">
        <v>73</v>
      </c>
      <c r="F1416" s="115">
        <v>410</v>
      </c>
      <c r="G1416" s="70">
        <f t="shared" si="298"/>
        <v>2004.9</v>
      </c>
      <c r="H1416" s="70">
        <f t="shared" si="298"/>
        <v>0</v>
      </c>
      <c r="I1416" s="70">
        <f t="shared" si="289"/>
        <v>2004.9</v>
      </c>
      <c r="J1416" s="70">
        <f t="shared" si="298"/>
        <v>-594.6</v>
      </c>
      <c r="K1416" s="87">
        <f t="shared" si="286"/>
        <v>1410.3000000000002</v>
      </c>
      <c r="L1416" s="13">
        <f t="shared" si="298"/>
        <v>2159</v>
      </c>
      <c r="M1416" s="87">
        <f t="shared" si="295"/>
        <v>3569.3</v>
      </c>
      <c r="N1416" s="13">
        <f t="shared" si="298"/>
        <v>0</v>
      </c>
      <c r="O1416" s="87">
        <f t="shared" si="296"/>
        <v>3569.3</v>
      </c>
      <c r="P1416" s="13">
        <f t="shared" si="298"/>
        <v>0</v>
      </c>
      <c r="Q1416" s="87">
        <f t="shared" si="290"/>
        <v>3569.3</v>
      </c>
      <c r="R1416" s="13">
        <f t="shared" si="298"/>
        <v>806.1999999999999</v>
      </c>
      <c r="S1416" s="87">
        <f t="shared" si="287"/>
        <v>4375.5</v>
      </c>
    </row>
    <row r="1417" spans="1:19" ht="33">
      <c r="A1417" s="62" t="str">
        <f ca="1">IF(ISERROR(MATCH(F1417,Код_КВР,0)),"",INDIRECT(ADDRESS(MATCH(F1417,Код_КВР,0)+1,2,,,"КВР")))</f>
        <v>Бюджетные инвестиции в объекты капитального строительства муниципальной собственности</v>
      </c>
      <c r="B1417" s="115">
        <v>811</v>
      </c>
      <c r="C1417" s="8" t="s">
        <v>224</v>
      </c>
      <c r="D1417" s="8" t="s">
        <v>227</v>
      </c>
      <c r="E1417" s="115" t="s">
        <v>73</v>
      </c>
      <c r="F1417" s="115">
        <v>414</v>
      </c>
      <c r="G1417" s="70">
        <v>2004.9</v>
      </c>
      <c r="H1417" s="70"/>
      <c r="I1417" s="70">
        <f t="shared" si="289"/>
        <v>2004.9</v>
      </c>
      <c r="J1417" s="70">
        <v>-594.6</v>
      </c>
      <c r="K1417" s="87">
        <f t="shared" si="286"/>
        <v>1410.3000000000002</v>
      </c>
      <c r="L1417" s="13">
        <f>2196+1318-1355</f>
        <v>2159</v>
      </c>
      <c r="M1417" s="87">
        <f t="shared" si="295"/>
        <v>3569.3</v>
      </c>
      <c r="N1417" s="13"/>
      <c r="O1417" s="87">
        <f t="shared" si="296"/>
        <v>3569.3</v>
      </c>
      <c r="P1417" s="13"/>
      <c r="Q1417" s="87">
        <f t="shared" si="290"/>
        <v>3569.3</v>
      </c>
      <c r="R1417" s="13">
        <f>672.4+204-70.2</f>
        <v>806.1999999999999</v>
      </c>
      <c r="S1417" s="87">
        <f t="shared" si="287"/>
        <v>4375.5</v>
      </c>
    </row>
    <row r="1418" spans="1:19" s="94" customFormat="1" ht="36" customHeight="1">
      <c r="A1418" s="62" t="str">
        <f ca="1">IF(ISERROR(MATCH(E1418,Код_КЦСР,0)),"",INDIRECT(ADDRESS(MATCH(E1418,Код_КЦСР,0)+1,2,,,"КЦСР")))</f>
        <v>Реконструкция Октябрьского проспекта на участке от Октябрьского моста до ул. Любецкой</v>
      </c>
      <c r="B1418" s="129">
        <v>811</v>
      </c>
      <c r="C1418" s="8" t="s">
        <v>224</v>
      </c>
      <c r="D1418" s="8" t="s">
        <v>227</v>
      </c>
      <c r="E1418" s="129" t="s">
        <v>664</v>
      </c>
      <c r="F1418" s="129"/>
      <c r="G1418" s="70"/>
      <c r="H1418" s="70"/>
      <c r="I1418" s="70"/>
      <c r="J1418" s="70"/>
      <c r="K1418" s="87"/>
      <c r="L1418" s="13"/>
      <c r="M1418" s="87"/>
      <c r="N1418" s="13"/>
      <c r="O1418" s="87"/>
      <c r="P1418" s="13"/>
      <c r="Q1418" s="87"/>
      <c r="R1418" s="13">
        <f>R1419</f>
        <v>1944</v>
      </c>
      <c r="S1418" s="87">
        <f t="shared" si="287"/>
        <v>1944</v>
      </c>
    </row>
    <row r="1419" spans="1:19" s="94" customFormat="1" ht="33">
      <c r="A1419" s="62" t="str">
        <f ca="1">IF(ISERROR(MATCH(F1419,Код_КВР,0)),"",INDIRECT(ADDRESS(MATCH(F1419,Код_КВР,0)+1,2,,,"КВР")))</f>
        <v>Капитальные вложения в объекты недвижимого имущества муниципальной собственности</v>
      </c>
      <c r="B1419" s="129">
        <v>811</v>
      </c>
      <c r="C1419" s="8" t="s">
        <v>224</v>
      </c>
      <c r="D1419" s="8" t="s">
        <v>227</v>
      </c>
      <c r="E1419" s="129" t="s">
        <v>664</v>
      </c>
      <c r="F1419" s="129">
        <v>400</v>
      </c>
      <c r="G1419" s="70"/>
      <c r="H1419" s="70"/>
      <c r="I1419" s="70"/>
      <c r="J1419" s="70"/>
      <c r="K1419" s="87"/>
      <c r="L1419" s="13"/>
      <c r="M1419" s="87"/>
      <c r="N1419" s="13"/>
      <c r="O1419" s="87"/>
      <c r="P1419" s="13"/>
      <c r="Q1419" s="87"/>
      <c r="R1419" s="13">
        <f>R1420</f>
        <v>1944</v>
      </c>
      <c r="S1419" s="87">
        <f t="shared" si="287"/>
        <v>1944</v>
      </c>
    </row>
    <row r="1420" spans="1:19" s="94" customFormat="1" ht="12.75">
      <c r="A1420" s="62" t="str">
        <f ca="1">IF(ISERROR(MATCH(F1420,Код_КВР,0)),"",INDIRECT(ADDRESS(MATCH(F1420,Код_КВР,0)+1,2,,,"КВР")))</f>
        <v>Бюджетные инвестиции</v>
      </c>
      <c r="B1420" s="129">
        <v>811</v>
      </c>
      <c r="C1420" s="8" t="s">
        <v>224</v>
      </c>
      <c r="D1420" s="8" t="s">
        <v>227</v>
      </c>
      <c r="E1420" s="129" t="s">
        <v>664</v>
      </c>
      <c r="F1420" s="129">
        <v>410</v>
      </c>
      <c r="G1420" s="70"/>
      <c r="H1420" s="70"/>
      <c r="I1420" s="70"/>
      <c r="J1420" s="70"/>
      <c r="K1420" s="87"/>
      <c r="L1420" s="13"/>
      <c r="M1420" s="87"/>
      <c r="N1420" s="13"/>
      <c r="O1420" s="87"/>
      <c r="P1420" s="13"/>
      <c r="Q1420" s="87"/>
      <c r="R1420" s="13">
        <f>R1421</f>
        <v>1944</v>
      </c>
      <c r="S1420" s="87">
        <f t="shared" si="287"/>
        <v>1944</v>
      </c>
    </row>
    <row r="1421" spans="1:19" s="94" customFormat="1" ht="33">
      <c r="A1421" s="62" t="str">
        <f ca="1">IF(ISERROR(MATCH(F1421,Код_КВР,0)),"",INDIRECT(ADDRESS(MATCH(F1421,Код_КВР,0)+1,2,,,"КВР")))</f>
        <v>Бюджетные инвестиции в объекты капитального строительства муниципальной собственности</v>
      </c>
      <c r="B1421" s="129">
        <v>811</v>
      </c>
      <c r="C1421" s="8" t="s">
        <v>224</v>
      </c>
      <c r="D1421" s="8" t="s">
        <v>227</v>
      </c>
      <c r="E1421" s="129" t="s">
        <v>664</v>
      </c>
      <c r="F1421" s="129">
        <v>414</v>
      </c>
      <c r="G1421" s="70"/>
      <c r="H1421" s="70"/>
      <c r="I1421" s="70"/>
      <c r="J1421" s="70"/>
      <c r="K1421" s="87"/>
      <c r="L1421" s="13"/>
      <c r="M1421" s="87"/>
      <c r="N1421" s="13"/>
      <c r="O1421" s="87"/>
      <c r="P1421" s="13"/>
      <c r="Q1421" s="87"/>
      <c r="R1421" s="13">
        <f>1944</f>
        <v>1944</v>
      </c>
      <c r="S1421" s="87">
        <f t="shared" si="287"/>
        <v>1944</v>
      </c>
    </row>
    <row r="1422" spans="1:19" s="94" customFormat="1" ht="12.75">
      <c r="A1422" s="62" t="str">
        <f ca="1">IF(ISERROR(MATCH(E1422,Код_КЦСР,0)),"",INDIRECT(ADDRESS(MATCH(E1422,Код_КЦСР,0)+1,2,,,"КЦСР")))</f>
        <v>Реконструкция пр. Строителей</v>
      </c>
      <c r="B1422" s="129">
        <v>811</v>
      </c>
      <c r="C1422" s="8" t="s">
        <v>224</v>
      </c>
      <c r="D1422" s="8" t="s">
        <v>227</v>
      </c>
      <c r="E1422" s="129" t="s">
        <v>666</v>
      </c>
      <c r="F1422" s="129"/>
      <c r="G1422" s="70"/>
      <c r="H1422" s="70"/>
      <c r="I1422" s="70"/>
      <c r="J1422" s="70"/>
      <c r="K1422" s="87"/>
      <c r="L1422" s="13"/>
      <c r="M1422" s="87"/>
      <c r="N1422" s="13"/>
      <c r="O1422" s="87"/>
      <c r="P1422" s="13"/>
      <c r="Q1422" s="87"/>
      <c r="R1422" s="13">
        <f>R1423</f>
        <v>585.4</v>
      </c>
      <c r="S1422" s="87">
        <f t="shared" si="287"/>
        <v>585.4</v>
      </c>
    </row>
    <row r="1423" spans="1:19" s="94" customFormat="1" ht="33">
      <c r="A1423" s="62" t="str">
        <f ca="1">IF(ISERROR(MATCH(F1423,Код_КВР,0)),"",INDIRECT(ADDRESS(MATCH(F1423,Код_КВР,0)+1,2,,,"КВР")))</f>
        <v>Капитальные вложения в объекты недвижимого имущества муниципальной собственности</v>
      </c>
      <c r="B1423" s="129">
        <v>811</v>
      </c>
      <c r="C1423" s="8" t="s">
        <v>224</v>
      </c>
      <c r="D1423" s="8" t="s">
        <v>227</v>
      </c>
      <c r="E1423" s="129" t="s">
        <v>666</v>
      </c>
      <c r="F1423" s="129">
        <v>400</v>
      </c>
      <c r="G1423" s="70"/>
      <c r="H1423" s="70"/>
      <c r="I1423" s="70"/>
      <c r="J1423" s="70"/>
      <c r="K1423" s="87"/>
      <c r="L1423" s="13"/>
      <c r="M1423" s="87"/>
      <c r="N1423" s="13"/>
      <c r="O1423" s="87"/>
      <c r="P1423" s="13"/>
      <c r="Q1423" s="87"/>
      <c r="R1423" s="13">
        <f>R1424</f>
        <v>585.4</v>
      </c>
      <c r="S1423" s="87">
        <f t="shared" si="287"/>
        <v>585.4</v>
      </c>
    </row>
    <row r="1424" spans="1:19" s="94" customFormat="1" ht="12.75">
      <c r="A1424" s="62" t="str">
        <f ca="1">IF(ISERROR(MATCH(F1424,Код_КВР,0)),"",INDIRECT(ADDRESS(MATCH(F1424,Код_КВР,0)+1,2,,,"КВР")))</f>
        <v>Бюджетные инвестиции</v>
      </c>
      <c r="B1424" s="129">
        <v>811</v>
      </c>
      <c r="C1424" s="8" t="s">
        <v>224</v>
      </c>
      <c r="D1424" s="8" t="s">
        <v>227</v>
      </c>
      <c r="E1424" s="129" t="s">
        <v>666</v>
      </c>
      <c r="F1424" s="129">
        <v>410</v>
      </c>
      <c r="G1424" s="70"/>
      <c r="H1424" s="70"/>
      <c r="I1424" s="70"/>
      <c r="J1424" s="70"/>
      <c r="K1424" s="87"/>
      <c r="L1424" s="13"/>
      <c r="M1424" s="87"/>
      <c r="N1424" s="13"/>
      <c r="O1424" s="87"/>
      <c r="P1424" s="13"/>
      <c r="Q1424" s="87"/>
      <c r="R1424" s="13">
        <f>R1425</f>
        <v>585.4</v>
      </c>
      <c r="S1424" s="87">
        <f t="shared" si="287"/>
        <v>585.4</v>
      </c>
    </row>
    <row r="1425" spans="1:19" s="94" customFormat="1" ht="33">
      <c r="A1425" s="62" t="str">
        <f ca="1">IF(ISERROR(MATCH(F1425,Код_КВР,0)),"",INDIRECT(ADDRESS(MATCH(F1425,Код_КВР,0)+1,2,,,"КВР")))</f>
        <v>Бюджетные инвестиции в объекты капитального строительства муниципальной собственности</v>
      </c>
      <c r="B1425" s="129">
        <v>811</v>
      </c>
      <c r="C1425" s="8" t="s">
        <v>224</v>
      </c>
      <c r="D1425" s="8" t="s">
        <v>227</v>
      </c>
      <c r="E1425" s="129" t="s">
        <v>666</v>
      </c>
      <c r="F1425" s="129">
        <v>414</v>
      </c>
      <c r="G1425" s="70"/>
      <c r="H1425" s="70"/>
      <c r="I1425" s="70"/>
      <c r="J1425" s="70"/>
      <c r="K1425" s="87"/>
      <c r="L1425" s="13"/>
      <c r="M1425" s="87"/>
      <c r="N1425" s="13"/>
      <c r="O1425" s="87"/>
      <c r="P1425" s="13"/>
      <c r="Q1425" s="87"/>
      <c r="R1425" s="13">
        <v>585.4</v>
      </c>
      <c r="S1425" s="87">
        <f t="shared" si="287"/>
        <v>585.4</v>
      </c>
    </row>
    <row r="1426" spans="1:19" s="94" customFormat="1" ht="12.75">
      <c r="A1426" s="62" t="str">
        <f ca="1">IF(ISERROR(MATCH(E1426,Код_КЦСР,0)),"",INDIRECT(ADDRESS(MATCH(E1426,Код_КЦСР,0)+1,2,,,"КЦСР")))</f>
        <v>Реконструкция ул. Мамлеева</v>
      </c>
      <c r="B1426" s="129">
        <v>811</v>
      </c>
      <c r="C1426" s="8" t="s">
        <v>224</v>
      </c>
      <c r="D1426" s="8" t="s">
        <v>227</v>
      </c>
      <c r="E1426" s="129" t="s">
        <v>668</v>
      </c>
      <c r="F1426" s="129"/>
      <c r="G1426" s="70"/>
      <c r="H1426" s="70"/>
      <c r="I1426" s="70"/>
      <c r="J1426" s="70"/>
      <c r="K1426" s="87"/>
      <c r="L1426" s="13"/>
      <c r="M1426" s="87"/>
      <c r="N1426" s="13"/>
      <c r="O1426" s="87"/>
      <c r="P1426" s="13"/>
      <c r="Q1426" s="87"/>
      <c r="R1426" s="13">
        <f>R1427</f>
        <v>524.7</v>
      </c>
      <c r="S1426" s="87">
        <f t="shared" si="287"/>
        <v>524.7</v>
      </c>
    </row>
    <row r="1427" spans="1:19" s="94" customFormat="1" ht="33">
      <c r="A1427" s="62" t="str">
        <f ca="1">IF(ISERROR(MATCH(F1427,Код_КВР,0)),"",INDIRECT(ADDRESS(MATCH(F1427,Код_КВР,0)+1,2,,,"КВР")))</f>
        <v>Капитальные вложения в объекты недвижимого имущества муниципальной собственности</v>
      </c>
      <c r="B1427" s="129">
        <v>811</v>
      </c>
      <c r="C1427" s="8" t="s">
        <v>224</v>
      </c>
      <c r="D1427" s="8" t="s">
        <v>227</v>
      </c>
      <c r="E1427" s="129" t="s">
        <v>668</v>
      </c>
      <c r="F1427" s="129">
        <v>400</v>
      </c>
      <c r="G1427" s="70"/>
      <c r="H1427" s="70"/>
      <c r="I1427" s="70"/>
      <c r="J1427" s="70"/>
      <c r="K1427" s="87"/>
      <c r="L1427" s="13"/>
      <c r="M1427" s="87"/>
      <c r="N1427" s="13"/>
      <c r="O1427" s="87"/>
      <c r="P1427" s="13"/>
      <c r="Q1427" s="87"/>
      <c r="R1427" s="13">
        <f>R1428</f>
        <v>524.7</v>
      </c>
      <c r="S1427" s="87">
        <f t="shared" si="287"/>
        <v>524.7</v>
      </c>
    </row>
    <row r="1428" spans="1:19" s="94" customFormat="1" ht="12.75">
      <c r="A1428" s="62" t="str">
        <f ca="1">IF(ISERROR(MATCH(F1428,Код_КВР,0)),"",INDIRECT(ADDRESS(MATCH(F1428,Код_КВР,0)+1,2,,,"КВР")))</f>
        <v>Бюджетные инвестиции</v>
      </c>
      <c r="B1428" s="129">
        <v>811</v>
      </c>
      <c r="C1428" s="8" t="s">
        <v>224</v>
      </c>
      <c r="D1428" s="8" t="s">
        <v>227</v>
      </c>
      <c r="E1428" s="129" t="s">
        <v>668</v>
      </c>
      <c r="F1428" s="129">
        <v>410</v>
      </c>
      <c r="G1428" s="70"/>
      <c r="H1428" s="70"/>
      <c r="I1428" s="70"/>
      <c r="J1428" s="70"/>
      <c r="K1428" s="87"/>
      <c r="L1428" s="13"/>
      <c r="M1428" s="87"/>
      <c r="N1428" s="13"/>
      <c r="O1428" s="87"/>
      <c r="P1428" s="13"/>
      <c r="Q1428" s="87"/>
      <c r="R1428" s="13">
        <f>R1429</f>
        <v>524.7</v>
      </c>
      <c r="S1428" s="87">
        <f t="shared" si="287"/>
        <v>524.7</v>
      </c>
    </row>
    <row r="1429" spans="1:19" s="94" customFormat="1" ht="33">
      <c r="A1429" s="62" t="str">
        <f ca="1">IF(ISERROR(MATCH(F1429,Код_КВР,0)),"",INDIRECT(ADDRESS(MATCH(F1429,Код_КВР,0)+1,2,,,"КВР")))</f>
        <v>Бюджетные инвестиции в объекты капитального строительства муниципальной собственности</v>
      </c>
      <c r="B1429" s="129">
        <v>811</v>
      </c>
      <c r="C1429" s="8" t="s">
        <v>224</v>
      </c>
      <c r="D1429" s="8" t="s">
        <v>227</v>
      </c>
      <c r="E1429" s="129" t="s">
        <v>668</v>
      </c>
      <c r="F1429" s="129">
        <v>414</v>
      </c>
      <c r="G1429" s="70"/>
      <c r="H1429" s="70"/>
      <c r="I1429" s="70"/>
      <c r="J1429" s="70"/>
      <c r="K1429" s="87"/>
      <c r="L1429" s="13"/>
      <c r="M1429" s="87"/>
      <c r="N1429" s="13"/>
      <c r="O1429" s="87"/>
      <c r="P1429" s="13"/>
      <c r="Q1429" s="87"/>
      <c r="R1429" s="13">
        <f>524.7</f>
        <v>524.7</v>
      </c>
      <c r="S1429" s="87">
        <f t="shared" si="287"/>
        <v>524.7</v>
      </c>
    </row>
    <row r="1430" spans="1:19" s="94" customFormat="1" ht="12.75">
      <c r="A1430" s="62" t="str">
        <f ca="1">IF(ISERROR(MATCH(E1430,Код_КЦСР,0)),"",INDIRECT(ADDRESS(MATCH(E1430,Код_КЦСР,0)+1,2,,,"КЦСР")))</f>
        <v>Реконструкция ул. Данилова</v>
      </c>
      <c r="B1430" s="129">
        <v>811</v>
      </c>
      <c r="C1430" s="8" t="s">
        <v>224</v>
      </c>
      <c r="D1430" s="8" t="s">
        <v>227</v>
      </c>
      <c r="E1430" s="129" t="s">
        <v>670</v>
      </c>
      <c r="F1430" s="129"/>
      <c r="G1430" s="70"/>
      <c r="H1430" s="70"/>
      <c r="I1430" s="70"/>
      <c r="J1430" s="70"/>
      <c r="K1430" s="87"/>
      <c r="L1430" s="13"/>
      <c r="M1430" s="87"/>
      <c r="N1430" s="13"/>
      <c r="O1430" s="87"/>
      <c r="P1430" s="13"/>
      <c r="Q1430" s="87"/>
      <c r="R1430" s="13">
        <f>R1431</f>
        <v>518.4</v>
      </c>
      <c r="S1430" s="87">
        <f t="shared" si="287"/>
        <v>518.4</v>
      </c>
    </row>
    <row r="1431" spans="1:19" s="94" customFormat="1" ht="33">
      <c r="A1431" s="62" t="str">
        <f ca="1">IF(ISERROR(MATCH(F1431,Код_КВР,0)),"",INDIRECT(ADDRESS(MATCH(F1431,Код_КВР,0)+1,2,,,"КВР")))</f>
        <v>Капитальные вложения в объекты недвижимого имущества муниципальной собственности</v>
      </c>
      <c r="B1431" s="129">
        <v>811</v>
      </c>
      <c r="C1431" s="8" t="s">
        <v>224</v>
      </c>
      <c r="D1431" s="8" t="s">
        <v>227</v>
      </c>
      <c r="E1431" s="129" t="s">
        <v>670</v>
      </c>
      <c r="F1431" s="129">
        <v>400</v>
      </c>
      <c r="G1431" s="70"/>
      <c r="H1431" s="70"/>
      <c r="I1431" s="70"/>
      <c r="J1431" s="70"/>
      <c r="K1431" s="87"/>
      <c r="L1431" s="13"/>
      <c r="M1431" s="87"/>
      <c r="N1431" s="13"/>
      <c r="O1431" s="87"/>
      <c r="P1431" s="13"/>
      <c r="Q1431" s="87"/>
      <c r="R1431" s="13">
        <f>R1432</f>
        <v>518.4</v>
      </c>
      <c r="S1431" s="87">
        <f t="shared" si="287"/>
        <v>518.4</v>
      </c>
    </row>
    <row r="1432" spans="1:19" s="94" customFormat="1" ht="12.75">
      <c r="A1432" s="62" t="str">
        <f ca="1">IF(ISERROR(MATCH(F1432,Код_КВР,0)),"",INDIRECT(ADDRESS(MATCH(F1432,Код_КВР,0)+1,2,,,"КВР")))</f>
        <v>Бюджетные инвестиции</v>
      </c>
      <c r="B1432" s="129">
        <v>811</v>
      </c>
      <c r="C1432" s="8" t="s">
        <v>224</v>
      </c>
      <c r="D1432" s="8" t="s">
        <v>227</v>
      </c>
      <c r="E1432" s="129" t="s">
        <v>670</v>
      </c>
      <c r="F1432" s="129">
        <v>410</v>
      </c>
      <c r="G1432" s="70"/>
      <c r="H1432" s="70"/>
      <c r="I1432" s="70"/>
      <c r="J1432" s="70"/>
      <c r="K1432" s="87"/>
      <c r="L1432" s="13"/>
      <c r="M1432" s="87"/>
      <c r="N1432" s="13"/>
      <c r="O1432" s="87"/>
      <c r="P1432" s="13"/>
      <c r="Q1432" s="87"/>
      <c r="R1432" s="13">
        <f>R1433</f>
        <v>518.4</v>
      </c>
      <c r="S1432" s="87">
        <f t="shared" si="287"/>
        <v>518.4</v>
      </c>
    </row>
    <row r="1433" spans="1:19" s="94" customFormat="1" ht="33">
      <c r="A1433" s="62" t="str">
        <f ca="1">IF(ISERROR(MATCH(F1433,Код_КВР,0)),"",INDIRECT(ADDRESS(MATCH(F1433,Код_КВР,0)+1,2,,,"КВР")))</f>
        <v>Бюджетные инвестиции в объекты капитального строительства муниципальной собственности</v>
      </c>
      <c r="B1433" s="129">
        <v>811</v>
      </c>
      <c r="C1433" s="8" t="s">
        <v>224</v>
      </c>
      <c r="D1433" s="8" t="s">
        <v>227</v>
      </c>
      <c r="E1433" s="129" t="s">
        <v>670</v>
      </c>
      <c r="F1433" s="129">
        <v>414</v>
      </c>
      <c r="G1433" s="70"/>
      <c r="H1433" s="70"/>
      <c r="I1433" s="70"/>
      <c r="J1433" s="70"/>
      <c r="K1433" s="87"/>
      <c r="L1433" s="13"/>
      <c r="M1433" s="87"/>
      <c r="N1433" s="13"/>
      <c r="O1433" s="87"/>
      <c r="P1433" s="13"/>
      <c r="Q1433" s="87"/>
      <c r="R1433" s="13">
        <f>518.4</f>
        <v>518.4</v>
      </c>
      <c r="S1433" s="87">
        <f t="shared" si="287"/>
        <v>518.4</v>
      </c>
    </row>
    <row r="1434" spans="1:19" ht="12.75">
      <c r="A1434" s="12" t="s">
        <v>238</v>
      </c>
      <c r="B1434" s="115">
        <v>811</v>
      </c>
      <c r="C1434" s="8" t="s">
        <v>224</v>
      </c>
      <c r="D1434" s="8" t="s">
        <v>196</v>
      </c>
      <c r="E1434" s="115"/>
      <c r="F1434" s="115"/>
      <c r="G1434" s="70"/>
      <c r="H1434" s="70"/>
      <c r="I1434" s="70"/>
      <c r="J1434" s="70"/>
      <c r="K1434" s="87"/>
      <c r="L1434" s="13">
        <f>L1435</f>
        <v>1150</v>
      </c>
      <c r="M1434" s="87">
        <f t="shared" si="295"/>
        <v>1150</v>
      </c>
      <c r="N1434" s="13">
        <f>N1435</f>
        <v>0</v>
      </c>
      <c r="O1434" s="87">
        <f t="shared" si="296"/>
        <v>1150</v>
      </c>
      <c r="P1434" s="13">
        <f>P1435</f>
        <v>0</v>
      </c>
      <c r="Q1434" s="87">
        <f t="shared" si="290"/>
        <v>1150</v>
      </c>
      <c r="R1434" s="13">
        <f>R1435</f>
        <v>-56.3</v>
      </c>
      <c r="S1434" s="87">
        <f t="shared" si="287"/>
        <v>1093.7</v>
      </c>
    </row>
    <row r="1435" spans="1:19" ht="49.5">
      <c r="A1435" s="62" t="str">
        <f ca="1">IF(ISERROR(MATCH(E1435,Код_КЦСР,0)),"",INDIRECT(ADDRESS(MATCH(E1435,Код_КЦСР,0)+1,2,,,"КЦСР")))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35" s="115">
        <v>811</v>
      </c>
      <c r="C1435" s="8" t="s">
        <v>224</v>
      </c>
      <c r="D1435" s="8" t="s">
        <v>196</v>
      </c>
      <c r="E1435" s="115" t="s">
        <v>70</v>
      </c>
      <c r="F1435" s="115"/>
      <c r="G1435" s="70"/>
      <c r="H1435" s="70"/>
      <c r="I1435" s="70"/>
      <c r="J1435" s="70"/>
      <c r="K1435" s="87"/>
      <c r="L1435" s="13">
        <f aca="true" t="shared" si="299" ref="L1435:R1439">L1436</f>
        <v>1150</v>
      </c>
      <c r="M1435" s="87">
        <f t="shared" si="295"/>
        <v>1150</v>
      </c>
      <c r="N1435" s="13">
        <f t="shared" si="299"/>
        <v>0</v>
      </c>
      <c r="O1435" s="87">
        <f t="shared" si="296"/>
        <v>1150</v>
      </c>
      <c r="P1435" s="13">
        <f t="shared" si="299"/>
        <v>0</v>
      </c>
      <c r="Q1435" s="87">
        <f t="shared" si="290"/>
        <v>1150</v>
      </c>
      <c r="R1435" s="13">
        <f t="shared" si="299"/>
        <v>-56.3</v>
      </c>
      <c r="S1435" s="87">
        <f t="shared" si="287"/>
        <v>1093.7</v>
      </c>
    </row>
    <row r="1436" spans="1:19" ht="33">
      <c r="A1436" s="62" t="str">
        <f ca="1">IF(ISERROR(MATCH(E1436,Код_КЦСР,0)),"",INDIRECT(ADDRESS(MATCH(E1436,Код_КЦСР,0)+1,2,,,"КЦСР")))</f>
        <v>Капитальное строительство и реконструкция объектов муниципальной собственности</v>
      </c>
      <c r="B1436" s="115">
        <v>811</v>
      </c>
      <c r="C1436" s="8" t="s">
        <v>224</v>
      </c>
      <c r="D1436" s="8" t="s">
        <v>196</v>
      </c>
      <c r="E1436" s="115" t="s">
        <v>72</v>
      </c>
      <c r="F1436" s="115"/>
      <c r="G1436" s="70"/>
      <c r="H1436" s="70"/>
      <c r="I1436" s="70"/>
      <c r="J1436" s="70"/>
      <c r="K1436" s="87"/>
      <c r="L1436" s="13">
        <f t="shared" si="299"/>
        <v>1150</v>
      </c>
      <c r="M1436" s="87">
        <f t="shared" si="295"/>
        <v>1150</v>
      </c>
      <c r="N1436" s="13">
        <f t="shared" si="299"/>
        <v>0</v>
      </c>
      <c r="O1436" s="87">
        <f t="shared" si="296"/>
        <v>1150</v>
      </c>
      <c r="P1436" s="13">
        <f t="shared" si="299"/>
        <v>0</v>
      </c>
      <c r="Q1436" s="87">
        <f t="shared" si="290"/>
        <v>1150</v>
      </c>
      <c r="R1436" s="13">
        <f t="shared" si="299"/>
        <v>-56.3</v>
      </c>
      <c r="S1436" s="87">
        <f t="shared" si="287"/>
        <v>1093.7</v>
      </c>
    </row>
    <row r="1437" spans="1:19" ht="12.75">
      <c r="A1437" s="62" t="str">
        <f ca="1">IF(ISERROR(MATCH(E1437,Код_КЦСР,0)),"",INDIRECT(ADDRESS(MATCH(E1437,Код_КЦСР,0)+1,2,,,"КЦСР")))</f>
        <v>Строительство объектов сметной стоимостью до 100 млн. рублей</v>
      </c>
      <c r="B1437" s="115">
        <v>811</v>
      </c>
      <c r="C1437" s="8" t="s">
        <v>224</v>
      </c>
      <c r="D1437" s="8" t="s">
        <v>196</v>
      </c>
      <c r="E1437" s="115" t="s">
        <v>73</v>
      </c>
      <c r="F1437" s="115"/>
      <c r="G1437" s="70"/>
      <c r="H1437" s="70"/>
      <c r="I1437" s="70"/>
      <c r="J1437" s="70"/>
      <c r="K1437" s="87"/>
      <c r="L1437" s="13">
        <f t="shared" si="299"/>
        <v>1150</v>
      </c>
      <c r="M1437" s="87">
        <f t="shared" si="295"/>
        <v>1150</v>
      </c>
      <c r="N1437" s="13">
        <f t="shared" si="299"/>
        <v>0</v>
      </c>
      <c r="O1437" s="87">
        <f t="shared" si="296"/>
        <v>1150</v>
      </c>
      <c r="P1437" s="13">
        <f t="shared" si="299"/>
        <v>0</v>
      </c>
      <c r="Q1437" s="87">
        <f t="shared" si="290"/>
        <v>1150</v>
      </c>
      <c r="R1437" s="13">
        <f t="shared" si="299"/>
        <v>-56.3</v>
      </c>
      <c r="S1437" s="87">
        <f t="shared" si="287"/>
        <v>1093.7</v>
      </c>
    </row>
    <row r="1438" spans="1:19" ht="33">
      <c r="A1438" s="62" t="str">
        <f ca="1">IF(ISERROR(MATCH(F1438,Код_КВР,0)),"",INDIRECT(ADDRESS(MATCH(F1438,Код_КВР,0)+1,2,,,"КВР")))</f>
        <v>Капитальные вложения в объекты недвижимого имущества муниципальной собственности</v>
      </c>
      <c r="B1438" s="115">
        <v>811</v>
      </c>
      <c r="C1438" s="8" t="s">
        <v>224</v>
      </c>
      <c r="D1438" s="8" t="s">
        <v>196</v>
      </c>
      <c r="E1438" s="115" t="s">
        <v>73</v>
      </c>
      <c r="F1438" s="115">
        <v>400</v>
      </c>
      <c r="G1438" s="70"/>
      <c r="H1438" s="70"/>
      <c r="I1438" s="70"/>
      <c r="J1438" s="70"/>
      <c r="K1438" s="87"/>
      <c r="L1438" s="13">
        <f t="shared" si="299"/>
        <v>1150</v>
      </c>
      <c r="M1438" s="87">
        <f t="shared" si="295"/>
        <v>1150</v>
      </c>
      <c r="N1438" s="13">
        <f t="shared" si="299"/>
        <v>0</v>
      </c>
      <c r="O1438" s="87">
        <f t="shared" si="296"/>
        <v>1150</v>
      </c>
      <c r="P1438" s="13">
        <f t="shared" si="299"/>
        <v>0</v>
      </c>
      <c r="Q1438" s="87">
        <f t="shared" si="290"/>
        <v>1150</v>
      </c>
      <c r="R1438" s="13">
        <f t="shared" si="299"/>
        <v>-56.3</v>
      </c>
      <c r="S1438" s="87">
        <f t="shared" si="287"/>
        <v>1093.7</v>
      </c>
    </row>
    <row r="1439" spans="1:19" ht="12.75">
      <c r="A1439" s="62" t="str">
        <f ca="1">IF(ISERROR(MATCH(F1439,Код_КВР,0)),"",INDIRECT(ADDRESS(MATCH(F1439,Код_КВР,0)+1,2,,,"КВР")))</f>
        <v>Бюджетные инвестиции</v>
      </c>
      <c r="B1439" s="115">
        <v>811</v>
      </c>
      <c r="C1439" s="8" t="s">
        <v>224</v>
      </c>
      <c r="D1439" s="8" t="s">
        <v>196</v>
      </c>
      <c r="E1439" s="115" t="s">
        <v>73</v>
      </c>
      <c r="F1439" s="115">
        <v>410</v>
      </c>
      <c r="G1439" s="70"/>
      <c r="H1439" s="70"/>
      <c r="I1439" s="70"/>
      <c r="J1439" s="70"/>
      <c r="K1439" s="87"/>
      <c r="L1439" s="13">
        <f t="shared" si="299"/>
        <v>1150</v>
      </c>
      <c r="M1439" s="87">
        <f t="shared" si="295"/>
        <v>1150</v>
      </c>
      <c r="N1439" s="13">
        <f t="shared" si="299"/>
        <v>0</v>
      </c>
      <c r="O1439" s="87">
        <f t="shared" si="296"/>
        <v>1150</v>
      </c>
      <c r="P1439" s="13">
        <f t="shared" si="299"/>
        <v>0</v>
      </c>
      <c r="Q1439" s="87">
        <f t="shared" si="290"/>
        <v>1150</v>
      </c>
      <c r="R1439" s="13">
        <f t="shared" si="299"/>
        <v>-56.3</v>
      </c>
      <c r="S1439" s="87">
        <f t="shared" si="287"/>
        <v>1093.7</v>
      </c>
    </row>
    <row r="1440" spans="1:19" ht="33">
      <c r="A1440" s="62" t="str">
        <f ca="1">IF(ISERROR(MATCH(F1440,Код_КВР,0)),"",INDIRECT(ADDRESS(MATCH(F1440,Код_КВР,0)+1,2,,,"КВР")))</f>
        <v>Бюджетные инвестиции в объекты капитального строительства муниципальной собственности</v>
      </c>
      <c r="B1440" s="115">
        <v>811</v>
      </c>
      <c r="C1440" s="8" t="s">
        <v>224</v>
      </c>
      <c r="D1440" s="8" t="s">
        <v>196</v>
      </c>
      <c r="E1440" s="115" t="s">
        <v>73</v>
      </c>
      <c r="F1440" s="115">
        <v>414</v>
      </c>
      <c r="G1440" s="70"/>
      <c r="H1440" s="70"/>
      <c r="I1440" s="70"/>
      <c r="J1440" s="70"/>
      <c r="K1440" s="87"/>
      <c r="L1440" s="13">
        <v>1150</v>
      </c>
      <c r="M1440" s="87">
        <f t="shared" si="295"/>
        <v>1150</v>
      </c>
      <c r="N1440" s="13"/>
      <c r="O1440" s="87">
        <f t="shared" si="296"/>
        <v>1150</v>
      </c>
      <c r="P1440" s="13"/>
      <c r="Q1440" s="87">
        <f t="shared" si="290"/>
        <v>1150</v>
      </c>
      <c r="R1440" s="13">
        <v>-56.3</v>
      </c>
      <c r="S1440" s="87">
        <f t="shared" si="287"/>
        <v>1093.7</v>
      </c>
    </row>
    <row r="1441" spans="1:19" ht="12.75">
      <c r="A1441" s="12" t="s">
        <v>231</v>
      </c>
      <c r="B1441" s="115">
        <v>811</v>
      </c>
      <c r="C1441" s="8" t="s">
        <v>224</v>
      </c>
      <c r="D1441" s="8" t="s">
        <v>204</v>
      </c>
      <c r="E1441" s="115"/>
      <c r="F1441" s="115"/>
      <c r="G1441" s="70">
        <f>G1442+G1447+G1452+G1471</f>
        <v>87432.19999999998</v>
      </c>
      <c r="H1441" s="70">
        <f>H1442+H1447+H1452+H1471</f>
        <v>0</v>
      </c>
      <c r="I1441" s="70">
        <f t="shared" si="289"/>
        <v>87432.19999999998</v>
      </c>
      <c r="J1441" s="70">
        <f>J1442+J1447+J1452+J1471</f>
        <v>594.6</v>
      </c>
      <c r="K1441" s="87">
        <f t="shared" si="286"/>
        <v>88026.79999999999</v>
      </c>
      <c r="L1441" s="13">
        <f>L1442+L1447+L1452+L1471</f>
        <v>13.300000000000011</v>
      </c>
      <c r="M1441" s="87">
        <f t="shared" si="295"/>
        <v>88040.09999999999</v>
      </c>
      <c r="N1441" s="13">
        <f>N1442+N1447+N1452+N1471</f>
        <v>-70.2</v>
      </c>
      <c r="O1441" s="87">
        <f t="shared" si="296"/>
        <v>87969.9</v>
      </c>
      <c r="P1441" s="13">
        <f>P1442+P1447+P1452+P1471</f>
        <v>0</v>
      </c>
      <c r="Q1441" s="87">
        <f t="shared" si="290"/>
        <v>87969.9</v>
      </c>
      <c r="R1441" s="13">
        <f>R1442+R1447+R1452+R1471</f>
        <v>3268.1000000000004</v>
      </c>
      <c r="S1441" s="87">
        <f t="shared" si="287"/>
        <v>91238</v>
      </c>
    </row>
    <row r="1442" spans="1:19" ht="33" hidden="1">
      <c r="A1442" s="62" t="str">
        <f ca="1">IF(ISERROR(MATCH(E1442,Код_КЦСР,0)),"",INDIRECT(ADDRESS(MATCH(E1442,Код_КЦСР,0)+1,2,,,"КЦСР")))</f>
        <v>Муниципальная программа «Развитие внутреннего и въездного туризма в г. Череповце» на 2014-2022 годы</v>
      </c>
      <c r="B1442" s="115">
        <v>811</v>
      </c>
      <c r="C1442" s="8" t="s">
        <v>224</v>
      </c>
      <c r="D1442" s="8" t="s">
        <v>204</v>
      </c>
      <c r="E1442" s="115" t="s">
        <v>1</v>
      </c>
      <c r="F1442" s="115"/>
      <c r="G1442" s="70">
        <f aca="true" t="shared" si="300" ref="G1442:R1445">G1443</f>
        <v>0</v>
      </c>
      <c r="H1442" s="70">
        <f t="shared" si="300"/>
        <v>0</v>
      </c>
      <c r="I1442" s="70">
        <f t="shared" si="289"/>
        <v>0</v>
      </c>
      <c r="J1442" s="70">
        <f t="shared" si="300"/>
        <v>0</v>
      </c>
      <c r="K1442" s="87">
        <f t="shared" si="286"/>
        <v>0</v>
      </c>
      <c r="L1442" s="13">
        <f t="shared" si="300"/>
        <v>0</v>
      </c>
      <c r="M1442" s="87">
        <f t="shared" si="295"/>
        <v>0</v>
      </c>
      <c r="N1442" s="13">
        <f t="shared" si="300"/>
        <v>0</v>
      </c>
      <c r="O1442" s="87">
        <f t="shared" si="296"/>
        <v>0</v>
      </c>
      <c r="P1442" s="13">
        <f t="shared" si="300"/>
        <v>0</v>
      </c>
      <c r="Q1442" s="87">
        <f t="shared" si="290"/>
        <v>0</v>
      </c>
      <c r="R1442" s="13">
        <f t="shared" si="300"/>
        <v>0</v>
      </c>
      <c r="S1442" s="87">
        <f t="shared" si="287"/>
        <v>0</v>
      </c>
    </row>
    <row r="1443" spans="1:19" ht="33" hidden="1">
      <c r="A1443" s="62" t="str">
        <f ca="1">IF(ISERROR(MATCH(E1443,Код_КЦСР,0)),"",INDIRECT(ADDRESS(MATCH(E1443,Код_КЦСР,0)+1,2,,,"КЦСР")))</f>
        <v>Продвижение городского туристского продукта на российском и международном рынках</v>
      </c>
      <c r="B1443" s="115">
        <v>811</v>
      </c>
      <c r="C1443" s="8" t="s">
        <v>224</v>
      </c>
      <c r="D1443" s="8" t="s">
        <v>204</v>
      </c>
      <c r="E1443" s="115" t="s">
        <v>2</v>
      </c>
      <c r="F1443" s="115"/>
      <c r="G1443" s="70">
        <f t="shared" si="300"/>
        <v>0</v>
      </c>
      <c r="H1443" s="70">
        <f t="shared" si="300"/>
        <v>0</v>
      </c>
      <c r="I1443" s="70">
        <f t="shared" si="289"/>
        <v>0</v>
      </c>
      <c r="J1443" s="70">
        <f t="shared" si="300"/>
        <v>0</v>
      </c>
      <c r="K1443" s="87">
        <f t="shared" si="286"/>
        <v>0</v>
      </c>
      <c r="L1443" s="13">
        <f t="shared" si="300"/>
        <v>0</v>
      </c>
      <c r="M1443" s="87">
        <f t="shared" si="295"/>
        <v>0</v>
      </c>
      <c r="N1443" s="13">
        <f t="shared" si="300"/>
        <v>0</v>
      </c>
      <c r="O1443" s="87">
        <f t="shared" si="296"/>
        <v>0</v>
      </c>
      <c r="P1443" s="13">
        <f t="shared" si="300"/>
        <v>0</v>
      </c>
      <c r="Q1443" s="87">
        <f t="shared" si="290"/>
        <v>0</v>
      </c>
      <c r="R1443" s="13">
        <f t="shared" si="300"/>
        <v>0</v>
      </c>
      <c r="S1443" s="87">
        <f t="shared" si="287"/>
        <v>0</v>
      </c>
    </row>
    <row r="1444" spans="1:19" ht="12.75" hidden="1">
      <c r="A1444" s="62" t="str">
        <f ca="1">IF(ISERROR(MATCH(F1444,Код_КВР,0)),"",INDIRECT(ADDRESS(MATCH(F1444,Код_КВР,0)+1,2,,,"КВР")))</f>
        <v>Закупка товаров, работ и услуг для муниципальных нужд</v>
      </c>
      <c r="B1444" s="115">
        <v>811</v>
      </c>
      <c r="C1444" s="8" t="s">
        <v>224</v>
      </c>
      <c r="D1444" s="8" t="s">
        <v>204</v>
      </c>
      <c r="E1444" s="115" t="s">
        <v>2</v>
      </c>
      <c r="F1444" s="115">
        <v>200</v>
      </c>
      <c r="G1444" s="70">
        <f t="shared" si="300"/>
        <v>0</v>
      </c>
      <c r="H1444" s="70">
        <f t="shared" si="300"/>
        <v>0</v>
      </c>
      <c r="I1444" s="70">
        <f t="shared" si="289"/>
        <v>0</v>
      </c>
      <c r="J1444" s="70">
        <f t="shared" si="300"/>
        <v>0</v>
      </c>
      <c r="K1444" s="87">
        <f t="shared" si="286"/>
        <v>0</v>
      </c>
      <c r="L1444" s="13">
        <f t="shared" si="300"/>
        <v>0</v>
      </c>
      <c r="M1444" s="87">
        <f t="shared" si="295"/>
        <v>0</v>
      </c>
      <c r="N1444" s="13">
        <f t="shared" si="300"/>
        <v>0</v>
      </c>
      <c r="O1444" s="87">
        <f t="shared" si="296"/>
        <v>0</v>
      </c>
      <c r="P1444" s="13">
        <f t="shared" si="300"/>
        <v>0</v>
      </c>
      <c r="Q1444" s="87">
        <f t="shared" si="290"/>
        <v>0</v>
      </c>
      <c r="R1444" s="13">
        <f t="shared" si="300"/>
        <v>0</v>
      </c>
      <c r="S1444" s="87">
        <f t="shared" si="287"/>
        <v>0</v>
      </c>
    </row>
    <row r="1445" spans="1:19" ht="33" hidden="1">
      <c r="A1445" s="62" t="str">
        <f ca="1">IF(ISERROR(MATCH(F1445,Код_КВР,0)),"",INDIRECT(ADDRESS(MATCH(F1445,Код_КВР,0)+1,2,,,"КВР")))</f>
        <v>Иные закупки товаров, работ и услуг для обеспечения муниципальных нужд</v>
      </c>
      <c r="B1445" s="115">
        <v>811</v>
      </c>
      <c r="C1445" s="8" t="s">
        <v>224</v>
      </c>
      <c r="D1445" s="8" t="s">
        <v>204</v>
      </c>
      <c r="E1445" s="115" t="s">
        <v>2</v>
      </c>
      <c r="F1445" s="115">
        <v>240</v>
      </c>
      <c r="G1445" s="70">
        <f t="shared" si="300"/>
        <v>0</v>
      </c>
      <c r="H1445" s="70">
        <f t="shared" si="300"/>
        <v>0</v>
      </c>
      <c r="I1445" s="70">
        <f t="shared" si="289"/>
        <v>0</v>
      </c>
      <c r="J1445" s="70">
        <f t="shared" si="300"/>
        <v>0</v>
      </c>
      <c r="K1445" s="87">
        <f t="shared" si="286"/>
        <v>0</v>
      </c>
      <c r="L1445" s="13">
        <f t="shared" si="300"/>
        <v>0</v>
      </c>
      <c r="M1445" s="87">
        <f t="shared" si="295"/>
        <v>0</v>
      </c>
      <c r="N1445" s="13">
        <f t="shared" si="300"/>
        <v>0</v>
      </c>
      <c r="O1445" s="87">
        <f t="shared" si="296"/>
        <v>0</v>
      </c>
      <c r="P1445" s="13">
        <f t="shared" si="300"/>
        <v>0</v>
      </c>
      <c r="Q1445" s="87">
        <f t="shared" si="290"/>
        <v>0</v>
      </c>
      <c r="R1445" s="13">
        <f t="shared" si="300"/>
        <v>0</v>
      </c>
      <c r="S1445" s="87">
        <f aca="true" t="shared" si="301" ref="S1445:S1518">Q1445+R1445</f>
        <v>0</v>
      </c>
    </row>
    <row r="1446" spans="1:19" ht="33" hidden="1">
      <c r="A1446" s="62" t="str">
        <f ca="1">IF(ISERROR(MATCH(F1446,Код_КВР,0)),"",INDIRECT(ADDRESS(MATCH(F1446,Код_КВР,0)+1,2,,,"КВР")))</f>
        <v xml:space="preserve">Прочая закупка товаров, работ и услуг для обеспечения муниципальных нужд         </v>
      </c>
      <c r="B1446" s="115">
        <v>811</v>
      </c>
      <c r="C1446" s="8" t="s">
        <v>224</v>
      </c>
      <c r="D1446" s="8" t="s">
        <v>204</v>
      </c>
      <c r="E1446" s="115" t="s">
        <v>2</v>
      </c>
      <c r="F1446" s="115">
        <v>244</v>
      </c>
      <c r="G1446" s="70"/>
      <c r="H1446" s="70"/>
      <c r="I1446" s="70">
        <f t="shared" si="289"/>
        <v>0</v>
      </c>
      <c r="J1446" s="70"/>
      <c r="K1446" s="87">
        <f aca="true" t="shared" si="302" ref="K1446:K1527">I1446+J1446</f>
        <v>0</v>
      </c>
      <c r="L1446" s="13"/>
      <c r="M1446" s="87">
        <f t="shared" si="295"/>
        <v>0</v>
      </c>
      <c r="N1446" s="13"/>
      <c r="O1446" s="87">
        <f t="shared" si="296"/>
        <v>0</v>
      </c>
      <c r="P1446" s="13"/>
      <c r="Q1446" s="87">
        <f t="shared" si="290"/>
        <v>0</v>
      </c>
      <c r="R1446" s="13"/>
      <c r="S1446" s="87">
        <f t="shared" si="301"/>
        <v>0</v>
      </c>
    </row>
    <row r="1447" spans="1:19" ht="33">
      <c r="A1447" s="62" t="str">
        <f ca="1">IF(ISERROR(MATCH(E1447,Код_КЦСР,0)),"",INDIRECT(ADDRESS(MATCH(E1447,Код_КЦСР,0)+1,2,,,"КЦСР")))</f>
        <v>Муниципальная программа «Развитие земельно-имущественного комплекса  города Череповца» на 2014-2018 годы</v>
      </c>
      <c r="B1447" s="115">
        <v>811</v>
      </c>
      <c r="C1447" s="8" t="s">
        <v>224</v>
      </c>
      <c r="D1447" s="8" t="s">
        <v>204</v>
      </c>
      <c r="E1447" s="115" t="s">
        <v>62</v>
      </c>
      <c r="F1447" s="115"/>
      <c r="G1447" s="70">
        <f aca="true" t="shared" si="303" ref="G1447:R1450">G1448</f>
        <v>728.2</v>
      </c>
      <c r="H1447" s="70">
        <f t="shared" si="303"/>
        <v>0</v>
      </c>
      <c r="I1447" s="70">
        <f t="shared" si="289"/>
        <v>728.2</v>
      </c>
      <c r="J1447" s="70">
        <f t="shared" si="303"/>
        <v>0</v>
      </c>
      <c r="K1447" s="87">
        <f t="shared" si="302"/>
        <v>728.2</v>
      </c>
      <c r="L1447" s="13">
        <f t="shared" si="303"/>
        <v>0</v>
      </c>
      <c r="M1447" s="87">
        <f t="shared" si="295"/>
        <v>728.2</v>
      </c>
      <c r="N1447" s="13">
        <f t="shared" si="303"/>
        <v>-70.2</v>
      </c>
      <c r="O1447" s="87">
        <f t="shared" si="296"/>
        <v>658</v>
      </c>
      <c r="P1447" s="13">
        <f t="shared" si="303"/>
        <v>0</v>
      </c>
      <c r="Q1447" s="87">
        <f t="shared" si="290"/>
        <v>658</v>
      </c>
      <c r="R1447" s="13">
        <f t="shared" si="303"/>
        <v>0</v>
      </c>
      <c r="S1447" s="87">
        <f t="shared" si="301"/>
        <v>658</v>
      </c>
    </row>
    <row r="1448" spans="1:19" ht="33">
      <c r="A1448" s="62" t="str">
        <f ca="1">IF(ISERROR(MATCH(E1448,Код_КЦСР,0)),"",INDIRECT(ADDRESS(MATCH(E1448,Код_КЦСР,0)+1,2,,,"КЦСР")))</f>
        <v>Обеспечение исполнения полномочий органа местного самоуправления в области наружной рекламы</v>
      </c>
      <c r="B1448" s="115">
        <v>811</v>
      </c>
      <c r="C1448" s="8" t="s">
        <v>224</v>
      </c>
      <c r="D1448" s="8" t="s">
        <v>204</v>
      </c>
      <c r="E1448" s="115" t="s">
        <v>68</v>
      </c>
      <c r="F1448" s="115"/>
      <c r="G1448" s="70">
        <f t="shared" si="303"/>
        <v>728.2</v>
      </c>
      <c r="H1448" s="70">
        <f t="shared" si="303"/>
        <v>0</v>
      </c>
      <c r="I1448" s="70">
        <f t="shared" si="289"/>
        <v>728.2</v>
      </c>
      <c r="J1448" s="70">
        <f t="shared" si="303"/>
        <v>0</v>
      </c>
      <c r="K1448" s="87">
        <f t="shared" si="302"/>
        <v>728.2</v>
      </c>
      <c r="L1448" s="13">
        <f t="shared" si="303"/>
        <v>0</v>
      </c>
      <c r="M1448" s="87">
        <f t="shared" si="295"/>
        <v>728.2</v>
      </c>
      <c r="N1448" s="13">
        <f t="shared" si="303"/>
        <v>-70.2</v>
      </c>
      <c r="O1448" s="87">
        <f t="shared" si="296"/>
        <v>658</v>
      </c>
      <c r="P1448" s="13">
        <f t="shared" si="303"/>
        <v>0</v>
      </c>
      <c r="Q1448" s="87">
        <f t="shared" si="290"/>
        <v>658</v>
      </c>
      <c r="R1448" s="13">
        <f t="shared" si="303"/>
        <v>0</v>
      </c>
      <c r="S1448" s="87">
        <f t="shared" si="301"/>
        <v>658</v>
      </c>
    </row>
    <row r="1449" spans="1:19" ht="12.75">
      <c r="A1449" s="62" t="str">
        <f ca="1">IF(ISERROR(MATCH(F1449,Код_КВР,0)),"",INDIRECT(ADDRESS(MATCH(F1449,Код_КВР,0)+1,2,,,"КВР")))</f>
        <v>Закупка товаров, работ и услуг для муниципальных нужд</v>
      </c>
      <c r="B1449" s="115">
        <v>811</v>
      </c>
      <c r="C1449" s="8" t="s">
        <v>224</v>
      </c>
      <c r="D1449" s="8" t="s">
        <v>204</v>
      </c>
      <c r="E1449" s="115" t="s">
        <v>68</v>
      </c>
      <c r="F1449" s="115">
        <v>200</v>
      </c>
      <c r="G1449" s="70">
        <f t="shared" si="303"/>
        <v>728.2</v>
      </c>
      <c r="H1449" s="70">
        <f t="shared" si="303"/>
        <v>0</v>
      </c>
      <c r="I1449" s="70">
        <f t="shared" si="289"/>
        <v>728.2</v>
      </c>
      <c r="J1449" s="70">
        <f t="shared" si="303"/>
        <v>0</v>
      </c>
      <c r="K1449" s="87">
        <f t="shared" si="302"/>
        <v>728.2</v>
      </c>
      <c r="L1449" s="13">
        <f t="shared" si="303"/>
        <v>0</v>
      </c>
      <c r="M1449" s="87">
        <f t="shared" si="295"/>
        <v>728.2</v>
      </c>
      <c r="N1449" s="13">
        <f t="shared" si="303"/>
        <v>-70.2</v>
      </c>
      <c r="O1449" s="87">
        <f t="shared" si="296"/>
        <v>658</v>
      </c>
      <c r="P1449" s="13">
        <f t="shared" si="303"/>
        <v>0</v>
      </c>
      <c r="Q1449" s="87">
        <f t="shared" si="290"/>
        <v>658</v>
      </c>
      <c r="R1449" s="13">
        <f t="shared" si="303"/>
        <v>0</v>
      </c>
      <c r="S1449" s="87">
        <f t="shared" si="301"/>
        <v>658</v>
      </c>
    </row>
    <row r="1450" spans="1:19" ht="33">
      <c r="A1450" s="62" t="str">
        <f ca="1">IF(ISERROR(MATCH(F1450,Код_КВР,0)),"",INDIRECT(ADDRESS(MATCH(F1450,Код_КВР,0)+1,2,,,"КВР")))</f>
        <v>Иные закупки товаров, работ и услуг для обеспечения муниципальных нужд</v>
      </c>
      <c r="B1450" s="115">
        <v>811</v>
      </c>
      <c r="C1450" s="8" t="s">
        <v>224</v>
      </c>
      <c r="D1450" s="8" t="s">
        <v>204</v>
      </c>
      <c r="E1450" s="115" t="s">
        <v>68</v>
      </c>
      <c r="F1450" s="115">
        <v>240</v>
      </c>
      <c r="G1450" s="70">
        <f t="shared" si="303"/>
        <v>728.2</v>
      </c>
      <c r="H1450" s="70">
        <f t="shared" si="303"/>
        <v>0</v>
      </c>
      <c r="I1450" s="70">
        <f t="shared" si="289"/>
        <v>728.2</v>
      </c>
      <c r="J1450" s="70">
        <f t="shared" si="303"/>
        <v>0</v>
      </c>
      <c r="K1450" s="87">
        <f t="shared" si="302"/>
        <v>728.2</v>
      </c>
      <c r="L1450" s="13">
        <f t="shared" si="303"/>
        <v>0</v>
      </c>
      <c r="M1450" s="87">
        <f t="shared" si="295"/>
        <v>728.2</v>
      </c>
      <c r="N1450" s="13">
        <f t="shared" si="303"/>
        <v>-70.2</v>
      </c>
      <c r="O1450" s="87">
        <f t="shared" si="296"/>
        <v>658</v>
      </c>
      <c r="P1450" s="13">
        <f t="shared" si="303"/>
        <v>0</v>
      </c>
      <c r="Q1450" s="87">
        <f t="shared" si="290"/>
        <v>658</v>
      </c>
      <c r="R1450" s="13">
        <f t="shared" si="303"/>
        <v>0</v>
      </c>
      <c r="S1450" s="87">
        <f t="shared" si="301"/>
        <v>658</v>
      </c>
    </row>
    <row r="1451" spans="1:19" ht="33">
      <c r="A1451" s="62" t="str">
        <f ca="1">IF(ISERROR(MATCH(F1451,Код_КВР,0)),"",INDIRECT(ADDRESS(MATCH(F1451,Код_КВР,0)+1,2,,,"КВР")))</f>
        <v xml:space="preserve">Прочая закупка товаров, работ и услуг для обеспечения муниципальных нужд         </v>
      </c>
      <c r="B1451" s="115">
        <v>811</v>
      </c>
      <c r="C1451" s="8" t="s">
        <v>224</v>
      </c>
      <c r="D1451" s="8" t="s">
        <v>204</v>
      </c>
      <c r="E1451" s="115" t="s">
        <v>68</v>
      </c>
      <c r="F1451" s="115">
        <v>244</v>
      </c>
      <c r="G1451" s="70">
        <v>728.2</v>
      </c>
      <c r="H1451" s="70"/>
      <c r="I1451" s="70">
        <f t="shared" si="289"/>
        <v>728.2</v>
      </c>
      <c r="J1451" s="70"/>
      <c r="K1451" s="87">
        <f t="shared" si="302"/>
        <v>728.2</v>
      </c>
      <c r="L1451" s="13"/>
      <c r="M1451" s="87">
        <f t="shared" si="295"/>
        <v>728.2</v>
      </c>
      <c r="N1451" s="13">
        <v>-70.2</v>
      </c>
      <c r="O1451" s="87">
        <f t="shared" si="296"/>
        <v>658</v>
      </c>
      <c r="P1451" s="13"/>
      <c r="Q1451" s="87">
        <f t="shared" si="290"/>
        <v>658</v>
      </c>
      <c r="R1451" s="13"/>
      <c r="S1451" s="87">
        <f t="shared" si="301"/>
        <v>658</v>
      </c>
    </row>
    <row r="1452" spans="1:19" ht="49.5">
      <c r="A1452" s="62" t="str">
        <f ca="1">IF(ISERROR(MATCH(E1452,Код_КЦСР,0)),"",INDIRECT(ADDRESS(MATCH(E1452,Код_КЦСР,0)+1,2,,,"КЦСР")))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52" s="115">
        <v>811</v>
      </c>
      <c r="C1452" s="8" t="s">
        <v>224</v>
      </c>
      <c r="D1452" s="8" t="s">
        <v>204</v>
      </c>
      <c r="E1452" s="115" t="s">
        <v>70</v>
      </c>
      <c r="F1452" s="115"/>
      <c r="G1452" s="70">
        <f>G1461</f>
        <v>49603.399999999994</v>
      </c>
      <c r="H1452" s="70">
        <f>H1461</f>
        <v>0</v>
      </c>
      <c r="I1452" s="70">
        <f t="shared" si="289"/>
        <v>49603.399999999994</v>
      </c>
      <c r="J1452" s="70">
        <f>J1457+J1461</f>
        <v>594.6</v>
      </c>
      <c r="K1452" s="87">
        <f t="shared" si="302"/>
        <v>50197.99999999999</v>
      </c>
      <c r="L1452" s="13">
        <f>L1457+L1461</f>
        <v>13.300000000000011</v>
      </c>
      <c r="M1452" s="87">
        <f t="shared" si="295"/>
        <v>50211.299999999996</v>
      </c>
      <c r="N1452" s="13">
        <f>N1457+N1461</f>
        <v>0</v>
      </c>
      <c r="O1452" s="87">
        <f t="shared" si="296"/>
        <v>50211.299999999996</v>
      </c>
      <c r="P1452" s="13">
        <f>P1457+P1461</f>
        <v>0</v>
      </c>
      <c r="Q1452" s="87">
        <f t="shared" si="290"/>
        <v>50211.299999999996</v>
      </c>
      <c r="R1452" s="13">
        <f>R1457+R1461+R1453</f>
        <v>3268.1000000000004</v>
      </c>
      <c r="S1452" s="87">
        <f t="shared" si="301"/>
        <v>53479.399999999994</v>
      </c>
    </row>
    <row r="1453" spans="1:19" s="94" customFormat="1" ht="12.75">
      <c r="A1453" s="62" t="str">
        <f ca="1">IF(ISERROR(MATCH(E1453,Код_КЦСР,0)),"",INDIRECT(ADDRESS(MATCH(E1453,Код_КЦСР,0)+1,2,,,"КЦСР")))</f>
        <v>Строительство объектов сметной стоимостью до 100 млн. рублей</v>
      </c>
      <c r="B1453" s="129">
        <v>811</v>
      </c>
      <c r="C1453" s="8" t="s">
        <v>224</v>
      </c>
      <c r="D1453" s="8" t="s">
        <v>204</v>
      </c>
      <c r="E1453" s="129" t="s">
        <v>73</v>
      </c>
      <c r="F1453" s="129"/>
      <c r="G1453" s="70"/>
      <c r="H1453" s="70"/>
      <c r="I1453" s="70"/>
      <c r="J1453" s="70"/>
      <c r="K1453" s="87"/>
      <c r="L1453" s="13"/>
      <c r="M1453" s="87"/>
      <c r="N1453" s="13"/>
      <c r="O1453" s="87"/>
      <c r="P1453" s="13"/>
      <c r="Q1453" s="87"/>
      <c r="R1453" s="13">
        <f>R1454</f>
        <v>3008.8</v>
      </c>
      <c r="S1453" s="87">
        <f t="shared" si="301"/>
        <v>3008.8</v>
      </c>
    </row>
    <row r="1454" spans="1:19" s="94" customFormat="1" ht="33">
      <c r="A1454" s="62" t="str">
        <f ca="1">IF(ISERROR(MATCH(F1454,Код_КВР,0)),"",INDIRECT(ADDRESS(MATCH(F1454,Код_КВР,0)+1,2,,,"КВР")))</f>
        <v>Капитальные вложения в объекты недвижимого имущества муниципальной собственности</v>
      </c>
      <c r="B1454" s="129">
        <v>811</v>
      </c>
      <c r="C1454" s="8" t="s">
        <v>224</v>
      </c>
      <c r="D1454" s="8" t="s">
        <v>204</v>
      </c>
      <c r="E1454" s="129" t="s">
        <v>73</v>
      </c>
      <c r="F1454" s="129">
        <v>400</v>
      </c>
      <c r="G1454" s="70"/>
      <c r="H1454" s="70"/>
      <c r="I1454" s="70"/>
      <c r="J1454" s="70"/>
      <c r="K1454" s="87"/>
      <c r="L1454" s="13"/>
      <c r="M1454" s="87"/>
      <c r="N1454" s="13"/>
      <c r="O1454" s="87"/>
      <c r="P1454" s="13"/>
      <c r="Q1454" s="87"/>
      <c r="R1454" s="13">
        <f>R1455</f>
        <v>3008.8</v>
      </c>
      <c r="S1454" s="87">
        <f t="shared" si="301"/>
        <v>3008.8</v>
      </c>
    </row>
    <row r="1455" spans="1:19" s="94" customFormat="1" ht="12.75">
      <c r="A1455" s="62" t="str">
        <f ca="1">IF(ISERROR(MATCH(F1455,Код_КВР,0)),"",INDIRECT(ADDRESS(MATCH(F1455,Код_КВР,0)+1,2,,,"КВР")))</f>
        <v>Бюджетные инвестиции</v>
      </c>
      <c r="B1455" s="129">
        <v>811</v>
      </c>
      <c r="C1455" s="8" t="s">
        <v>224</v>
      </c>
      <c r="D1455" s="8" t="s">
        <v>204</v>
      </c>
      <c r="E1455" s="129" t="s">
        <v>73</v>
      </c>
      <c r="F1455" s="129">
        <v>410</v>
      </c>
      <c r="G1455" s="70"/>
      <c r="H1455" s="70"/>
      <c r="I1455" s="70"/>
      <c r="J1455" s="70"/>
      <c r="K1455" s="87"/>
      <c r="L1455" s="13"/>
      <c r="M1455" s="87"/>
      <c r="N1455" s="13"/>
      <c r="O1455" s="87"/>
      <c r="P1455" s="13"/>
      <c r="Q1455" s="87"/>
      <c r="R1455" s="13">
        <f>R1456</f>
        <v>3008.8</v>
      </c>
      <c r="S1455" s="87">
        <f t="shared" si="301"/>
        <v>3008.8</v>
      </c>
    </row>
    <row r="1456" spans="1:19" s="94" customFormat="1" ht="33">
      <c r="A1456" s="62" t="str">
        <f ca="1">IF(ISERROR(MATCH(F1456,Код_КВР,0)),"",INDIRECT(ADDRESS(MATCH(F1456,Код_КВР,0)+1,2,,,"КВР")))</f>
        <v>Бюджетные инвестиции в объекты капитального строительства муниципальной собственности</v>
      </c>
      <c r="B1456" s="129">
        <v>811</v>
      </c>
      <c r="C1456" s="8" t="s">
        <v>224</v>
      </c>
      <c r="D1456" s="8" t="s">
        <v>204</v>
      </c>
      <c r="E1456" s="129" t="s">
        <v>73</v>
      </c>
      <c r="F1456" s="129">
        <v>414</v>
      </c>
      <c r="G1456" s="70"/>
      <c r="H1456" s="70"/>
      <c r="I1456" s="70"/>
      <c r="J1456" s="70"/>
      <c r="K1456" s="87"/>
      <c r="L1456" s="13"/>
      <c r="M1456" s="87"/>
      <c r="N1456" s="13"/>
      <c r="O1456" s="87"/>
      <c r="P1456" s="13"/>
      <c r="Q1456" s="87"/>
      <c r="R1456" s="13">
        <v>3008.8</v>
      </c>
      <c r="S1456" s="87">
        <f t="shared" si="301"/>
        <v>3008.8</v>
      </c>
    </row>
    <row r="1457" spans="1:19" ht="12.75">
      <c r="A1457" s="62" t="str">
        <f ca="1">IF(ISERROR(MATCH(E1457,Код_КЦСР,0)),"",INDIRECT(ADDRESS(MATCH(E1457,Код_КЦСР,0)+1,2,,,"КЦСР")))</f>
        <v>Капитальный ремонт  объектов муниципальной собственности</v>
      </c>
      <c r="B1457" s="115">
        <v>811</v>
      </c>
      <c r="C1457" s="8" t="s">
        <v>224</v>
      </c>
      <c r="D1457" s="8" t="s">
        <v>204</v>
      </c>
      <c r="E1457" s="115" t="s">
        <v>78</v>
      </c>
      <c r="F1457" s="115"/>
      <c r="G1457" s="70"/>
      <c r="H1457" s="70"/>
      <c r="I1457" s="70"/>
      <c r="J1457" s="70">
        <f>J1458</f>
        <v>594.6</v>
      </c>
      <c r="K1457" s="87">
        <f t="shared" si="302"/>
        <v>594.6</v>
      </c>
      <c r="L1457" s="13">
        <f>L1458</f>
        <v>0</v>
      </c>
      <c r="M1457" s="87">
        <f t="shared" si="295"/>
        <v>594.6</v>
      </c>
      <c r="N1457" s="13">
        <f>N1458</f>
        <v>0</v>
      </c>
      <c r="O1457" s="87">
        <f t="shared" si="296"/>
        <v>594.6</v>
      </c>
      <c r="P1457" s="13">
        <f>P1458</f>
        <v>0</v>
      </c>
      <c r="Q1457" s="87">
        <f t="shared" si="290"/>
        <v>594.6</v>
      </c>
      <c r="R1457" s="13">
        <f>R1458</f>
        <v>-118.7</v>
      </c>
      <c r="S1457" s="87">
        <f t="shared" si="301"/>
        <v>475.90000000000003</v>
      </c>
    </row>
    <row r="1458" spans="1:19" ht="12.75">
      <c r="A1458" s="62" t="str">
        <f aca="true" t="shared" si="304" ref="A1458:A1460">IF(ISERROR(MATCH(F1458,Код_КВР,0)),"",INDIRECT(ADDRESS(MATCH(F1458,Код_КВР,0)+1,2,,,"КВР")))</f>
        <v>Закупка товаров, работ и услуг для муниципальных нужд</v>
      </c>
      <c r="B1458" s="115">
        <v>811</v>
      </c>
      <c r="C1458" s="8" t="s">
        <v>224</v>
      </c>
      <c r="D1458" s="8" t="s">
        <v>204</v>
      </c>
      <c r="E1458" s="115" t="s">
        <v>78</v>
      </c>
      <c r="F1458" s="115">
        <v>200</v>
      </c>
      <c r="G1458" s="70"/>
      <c r="H1458" s="70"/>
      <c r="I1458" s="70"/>
      <c r="J1458" s="70">
        <f>J1459</f>
        <v>594.6</v>
      </c>
      <c r="K1458" s="87">
        <f t="shared" si="302"/>
        <v>594.6</v>
      </c>
      <c r="L1458" s="13">
        <f>L1459</f>
        <v>0</v>
      </c>
      <c r="M1458" s="87">
        <f t="shared" si="295"/>
        <v>594.6</v>
      </c>
      <c r="N1458" s="13">
        <f>N1459</f>
        <v>0</v>
      </c>
      <c r="O1458" s="87">
        <f t="shared" si="296"/>
        <v>594.6</v>
      </c>
      <c r="P1458" s="13">
        <f>P1459</f>
        <v>0</v>
      </c>
      <c r="Q1458" s="87">
        <f aca="true" t="shared" si="305" ref="Q1458:Q1527">O1458+P1458</f>
        <v>594.6</v>
      </c>
      <c r="R1458" s="13">
        <f>R1459</f>
        <v>-118.7</v>
      </c>
      <c r="S1458" s="87">
        <f t="shared" si="301"/>
        <v>475.90000000000003</v>
      </c>
    </row>
    <row r="1459" spans="1:19" ht="33">
      <c r="A1459" s="62" t="str">
        <f ca="1" t="shared" si="304"/>
        <v>Иные закупки товаров, работ и услуг для обеспечения муниципальных нужд</v>
      </c>
      <c r="B1459" s="115">
        <v>811</v>
      </c>
      <c r="C1459" s="8" t="s">
        <v>224</v>
      </c>
      <c r="D1459" s="8" t="s">
        <v>204</v>
      </c>
      <c r="E1459" s="115" t="s">
        <v>78</v>
      </c>
      <c r="F1459" s="115">
        <v>240</v>
      </c>
      <c r="G1459" s="70"/>
      <c r="H1459" s="70"/>
      <c r="I1459" s="70"/>
      <c r="J1459" s="70">
        <f>J1460</f>
        <v>594.6</v>
      </c>
      <c r="K1459" s="87">
        <f t="shared" si="302"/>
        <v>594.6</v>
      </c>
      <c r="L1459" s="13">
        <f>L1460</f>
        <v>0</v>
      </c>
      <c r="M1459" s="87">
        <f t="shared" si="295"/>
        <v>594.6</v>
      </c>
      <c r="N1459" s="13">
        <f>N1460</f>
        <v>0</v>
      </c>
      <c r="O1459" s="87">
        <f t="shared" si="296"/>
        <v>594.6</v>
      </c>
      <c r="P1459" s="13">
        <f>P1460</f>
        <v>0</v>
      </c>
      <c r="Q1459" s="87">
        <f t="shared" si="305"/>
        <v>594.6</v>
      </c>
      <c r="R1459" s="13">
        <f>R1460</f>
        <v>-118.7</v>
      </c>
      <c r="S1459" s="87">
        <f t="shared" si="301"/>
        <v>475.90000000000003</v>
      </c>
    </row>
    <row r="1460" spans="1:19" ht="33">
      <c r="A1460" s="62" t="str">
        <f ca="1" t="shared" si="304"/>
        <v>Закупка товаров, работ, услуг в целях капитального ремонта муниципального имущества</v>
      </c>
      <c r="B1460" s="115">
        <v>811</v>
      </c>
      <c r="C1460" s="8" t="s">
        <v>224</v>
      </c>
      <c r="D1460" s="8" t="s">
        <v>204</v>
      </c>
      <c r="E1460" s="115" t="s">
        <v>78</v>
      </c>
      <c r="F1460" s="115">
        <v>243</v>
      </c>
      <c r="G1460" s="70"/>
      <c r="H1460" s="70"/>
      <c r="I1460" s="70"/>
      <c r="J1460" s="70">
        <v>594.6</v>
      </c>
      <c r="K1460" s="87">
        <f t="shared" si="302"/>
        <v>594.6</v>
      </c>
      <c r="L1460" s="13"/>
      <c r="M1460" s="87">
        <f t="shared" si="295"/>
        <v>594.6</v>
      </c>
      <c r="N1460" s="13"/>
      <c r="O1460" s="87">
        <f t="shared" si="296"/>
        <v>594.6</v>
      </c>
      <c r="P1460" s="13"/>
      <c r="Q1460" s="87">
        <f t="shared" si="305"/>
        <v>594.6</v>
      </c>
      <c r="R1460" s="13">
        <v>-118.7</v>
      </c>
      <c r="S1460" s="87">
        <f t="shared" si="301"/>
        <v>475.90000000000003</v>
      </c>
    </row>
    <row r="1461" spans="1:19" ht="66">
      <c r="A1461" s="62" t="str">
        <f ca="1">IF(ISERROR(MATCH(E1461,Код_КЦСР,0)),"",INDIRECT(ADDRESS(MATCH(E1461,Код_КЦСР,0)+1,2,,,"КЦСР")))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61" s="115">
        <v>811</v>
      </c>
      <c r="C1461" s="8" t="s">
        <v>224</v>
      </c>
      <c r="D1461" s="8" t="s">
        <v>204</v>
      </c>
      <c r="E1461" s="115" t="s">
        <v>79</v>
      </c>
      <c r="F1461" s="115"/>
      <c r="G1461" s="70">
        <f>G1462+G1464+G1467</f>
        <v>49603.399999999994</v>
      </c>
      <c r="H1461" s="70">
        <f>H1462+H1464+H1467</f>
        <v>0</v>
      </c>
      <c r="I1461" s="70">
        <f t="shared" si="289"/>
        <v>49603.399999999994</v>
      </c>
      <c r="J1461" s="70">
        <f>J1462+J1464+J1467</f>
        <v>0</v>
      </c>
      <c r="K1461" s="87">
        <f t="shared" si="302"/>
        <v>49603.399999999994</v>
      </c>
      <c r="L1461" s="13">
        <f>L1462+L1464+L1467</f>
        <v>13.300000000000011</v>
      </c>
      <c r="M1461" s="87">
        <f t="shared" si="295"/>
        <v>49616.7</v>
      </c>
      <c r="N1461" s="13">
        <f>N1462+N1464+N1467</f>
        <v>0</v>
      </c>
      <c r="O1461" s="87">
        <f t="shared" si="296"/>
        <v>49616.7</v>
      </c>
      <c r="P1461" s="13">
        <f>P1462+P1464+P1467</f>
        <v>0</v>
      </c>
      <c r="Q1461" s="87">
        <f t="shared" si="305"/>
        <v>49616.7</v>
      </c>
      <c r="R1461" s="13">
        <f>R1462+R1464+R1467</f>
        <v>378</v>
      </c>
      <c r="S1461" s="87">
        <f t="shared" si="301"/>
        <v>49994.7</v>
      </c>
    </row>
    <row r="1462" spans="1:19" ht="33">
      <c r="A1462" s="62" t="str">
        <f aca="true" t="shared" si="306" ref="A1462:A1468">IF(ISERROR(MATCH(F1462,Код_КВР,0)),"",INDIRECT(ADDRESS(MATCH(F1462,Код_КВР,0)+1,2,,,"КВР")))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62" s="115">
        <v>811</v>
      </c>
      <c r="C1462" s="8" t="s">
        <v>224</v>
      </c>
      <c r="D1462" s="8" t="s">
        <v>204</v>
      </c>
      <c r="E1462" s="115" t="s">
        <v>79</v>
      </c>
      <c r="F1462" s="115">
        <v>100</v>
      </c>
      <c r="G1462" s="70">
        <f>G1463</f>
        <v>46091.2</v>
      </c>
      <c r="H1462" s="70">
        <f>H1463</f>
        <v>0</v>
      </c>
      <c r="I1462" s="70">
        <f t="shared" si="289"/>
        <v>46091.2</v>
      </c>
      <c r="J1462" s="70">
        <f>J1463</f>
        <v>0</v>
      </c>
      <c r="K1462" s="87">
        <f t="shared" si="302"/>
        <v>46091.2</v>
      </c>
      <c r="L1462" s="13">
        <f>L1463</f>
        <v>-380.3</v>
      </c>
      <c r="M1462" s="87">
        <f t="shared" si="295"/>
        <v>45710.899999999994</v>
      </c>
      <c r="N1462" s="13">
        <f>N1463</f>
        <v>0</v>
      </c>
      <c r="O1462" s="87">
        <f t="shared" si="296"/>
        <v>45710.899999999994</v>
      </c>
      <c r="P1462" s="13">
        <f>P1463</f>
        <v>0</v>
      </c>
      <c r="Q1462" s="87">
        <f t="shared" si="305"/>
        <v>45710.899999999994</v>
      </c>
      <c r="R1462" s="13">
        <f>R1463</f>
        <v>0</v>
      </c>
      <c r="S1462" s="87">
        <f t="shared" si="301"/>
        <v>45710.899999999994</v>
      </c>
    </row>
    <row r="1463" spans="1:19" ht="12.75">
      <c r="A1463" s="62" t="str">
        <f ca="1" t="shared" si="306"/>
        <v>Расходы на выплаты персоналу казенных учреждений</v>
      </c>
      <c r="B1463" s="115">
        <v>811</v>
      </c>
      <c r="C1463" s="8" t="s">
        <v>224</v>
      </c>
      <c r="D1463" s="8" t="s">
        <v>204</v>
      </c>
      <c r="E1463" s="115" t="s">
        <v>79</v>
      </c>
      <c r="F1463" s="115">
        <v>110</v>
      </c>
      <c r="G1463" s="70">
        <v>46091.2</v>
      </c>
      <c r="H1463" s="70"/>
      <c r="I1463" s="70">
        <f t="shared" si="289"/>
        <v>46091.2</v>
      </c>
      <c r="J1463" s="70"/>
      <c r="K1463" s="87">
        <f t="shared" si="302"/>
        <v>46091.2</v>
      </c>
      <c r="L1463" s="13">
        <v>-380.3</v>
      </c>
      <c r="M1463" s="87">
        <f t="shared" si="295"/>
        <v>45710.899999999994</v>
      </c>
      <c r="N1463" s="13"/>
      <c r="O1463" s="87">
        <f t="shared" si="296"/>
        <v>45710.899999999994</v>
      </c>
      <c r="P1463" s="13"/>
      <c r="Q1463" s="87">
        <f t="shared" si="305"/>
        <v>45710.899999999994</v>
      </c>
      <c r="R1463" s="13"/>
      <c r="S1463" s="87">
        <f t="shared" si="301"/>
        <v>45710.899999999994</v>
      </c>
    </row>
    <row r="1464" spans="1:19" ht="12.75">
      <c r="A1464" s="62" t="str">
        <f ca="1" t="shared" si="306"/>
        <v>Закупка товаров, работ и услуг для муниципальных нужд</v>
      </c>
      <c r="B1464" s="115">
        <v>811</v>
      </c>
      <c r="C1464" s="8" t="s">
        <v>224</v>
      </c>
      <c r="D1464" s="8" t="s">
        <v>204</v>
      </c>
      <c r="E1464" s="115" t="s">
        <v>79</v>
      </c>
      <c r="F1464" s="115">
        <v>200</v>
      </c>
      <c r="G1464" s="70">
        <f>G1465</f>
        <v>2827.7</v>
      </c>
      <c r="H1464" s="70">
        <f>H1465</f>
        <v>0</v>
      </c>
      <c r="I1464" s="70">
        <f t="shared" si="289"/>
        <v>2827.7</v>
      </c>
      <c r="J1464" s="70">
        <f>J1465</f>
        <v>0</v>
      </c>
      <c r="K1464" s="87">
        <f t="shared" si="302"/>
        <v>2827.7</v>
      </c>
      <c r="L1464" s="13">
        <f>L1465</f>
        <v>393.6</v>
      </c>
      <c r="M1464" s="87">
        <f t="shared" si="295"/>
        <v>3221.2999999999997</v>
      </c>
      <c r="N1464" s="13">
        <f>N1465</f>
        <v>0</v>
      </c>
      <c r="O1464" s="87">
        <f t="shared" si="296"/>
        <v>3221.2999999999997</v>
      </c>
      <c r="P1464" s="13">
        <f>P1465</f>
        <v>0</v>
      </c>
      <c r="Q1464" s="87">
        <f t="shared" si="305"/>
        <v>3221.2999999999997</v>
      </c>
      <c r="R1464" s="13">
        <f>R1465</f>
        <v>378</v>
      </c>
      <c r="S1464" s="87">
        <f t="shared" si="301"/>
        <v>3599.2999999999997</v>
      </c>
    </row>
    <row r="1465" spans="1:19" ht="33">
      <c r="A1465" s="62" t="str">
        <f ca="1" t="shared" si="306"/>
        <v>Иные закупки товаров, работ и услуг для обеспечения муниципальных нужд</v>
      </c>
      <c r="B1465" s="115">
        <v>811</v>
      </c>
      <c r="C1465" s="8" t="s">
        <v>224</v>
      </c>
      <c r="D1465" s="8" t="s">
        <v>204</v>
      </c>
      <c r="E1465" s="115" t="s">
        <v>79</v>
      </c>
      <c r="F1465" s="115">
        <v>240</v>
      </c>
      <c r="G1465" s="70">
        <f>G1466</f>
        <v>2827.7</v>
      </c>
      <c r="H1465" s="70">
        <f>H1466</f>
        <v>0</v>
      </c>
      <c r="I1465" s="70">
        <f t="shared" si="289"/>
        <v>2827.7</v>
      </c>
      <c r="J1465" s="70">
        <f>J1466</f>
        <v>0</v>
      </c>
      <c r="K1465" s="87">
        <f t="shared" si="302"/>
        <v>2827.7</v>
      </c>
      <c r="L1465" s="13">
        <f>L1466</f>
        <v>393.6</v>
      </c>
      <c r="M1465" s="87">
        <f t="shared" si="295"/>
        <v>3221.2999999999997</v>
      </c>
      <c r="N1465" s="13">
        <f>N1466</f>
        <v>0</v>
      </c>
      <c r="O1465" s="87">
        <f t="shared" si="296"/>
        <v>3221.2999999999997</v>
      </c>
      <c r="P1465" s="13">
        <f>P1466</f>
        <v>0</v>
      </c>
      <c r="Q1465" s="87">
        <f t="shared" si="305"/>
        <v>3221.2999999999997</v>
      </c>
      <c r="R1465" s="13">
        <f>R1466</f>
        <v>378</v>
      </c>
      <c r="S1465" s="87">
        <f t="shared" si="301"/>
        <v>3599.2999999999997</v>
      </c>
    </row>
    <row r="1466" spans="1:19" ht="33">
      <c r="A1466" s="62" t="str">
        <f ca="1" t="shared" si="306"/>
        <v xml:space="preserve">Прочая закупка товаров, работ и услуг для обеспечения муниципальных нужд         </v>
      </c>
      <c r="B1466" s="115">
        <v>811</v>
      </c>
      <c r="C1466" s="8" t="s">
        <v>224</v>
      </c>
      <c r="D1466" s="8" t="s">
        <v>204</v>
      </c>
      <c r="E1466" s="115" t="s">
        <v>79</v>
      </c>
      <c r="F1466" s="115">
        <v>244</v>
      </c>
      <c r="G1466" s="70">
        <v>2827.7</v>
      </c>
      <c r="H1466" s="70"/>
      <c r="I1466" s="70">
        <f t="shared" si="289"/>
        <v>2827.7</v>
      </c>
      <c r="J1466" s="70"/>
      <c r="K1466" s="87">
        <f t="shared" si="302"/>
        <v>2827.7</v>
      </c>
      <c r="L1466" s="13">
        <f>30+363.6</f>
        <v>393.6</v>
      </c>
      <c r="M1466" s="87">
        <f t="shared" si="295"/>
        <v>3221.2999999999997</v>
      </c>
      <c r="N1466" s="13"/>
      <c r="O1466" s="87">
        <f t="shared" si="296"/>
        <v>3221.2999999999997</v>
      </c>
      <c r="P1466" s="13"/>
      <c r="Q1466" s="87">
        <f t="shared" si="305"/>
        <v>3221.2999999999997</v>
      </c>
      <c r="R1466" s="13">
        <f>292.5+85.5</f>
        <v>378</v>
      </c>
      <c r="S1466" s="87">
        <f t="shared" si="301"/>
        <v>3599.2999999999997</v>
      </c>
    </row>
    <row r="1467" spans="1:19" ht="12.75">
      <c r="A1467" s="62" t="str">
        <f ca="1" t="shared" si="306"/>
        <v>Иные бюджетные ассигнования</v>
      </c>
      <c r="B1467" s="115">
        <v>811</v>
      </c>
      <c r="C1467" s="8" t="s">
        <v>224</v>
      </c>
      <c r="D1467" s="8" t="s">
        <v>204</v>
      </c>
      <c r="E1467" s="115" t="s">
        <v>79</v>
      </c>
      <c r="F1467" s="115">
        <v>800</v>
      </c>
      <c r="G1467" s="70">
        <f>G1468</f>
        <v>684.5</v>
      </c>
      <c r="H1467" s="70">
        <f>H1468</f>
        <v>0</v>
      </c>
      <c r="I1467" s="70">
        <f t="shared" si="289"/>
        <v>684.5</v>
      </c>
      <c r="J1467" s="70">
        <f>J1468</f>
        <v>0</v>
      </c>
      <c r="K1467" s="87">
        <f t="shared" si="302"/>
        <v>684.5</v>
      </c>
      <c r="L1467" s="13">
        <f>L1468</f>
        <v>0</v>
      </c>
      <c r="M1467" s="87">
        <f t="shared" si="295"/>
        <v>684.5</v>
      </c>
      <c r="N1467" s="13">
        <f>N1468</f>
        <v>0</v>
      </c>
      <c r="O1467" s="87">
        <f t="shared" si="296"/>
        <v>684.5</v>
      </c>
      <c r="P1467" s="13">
        <f>P1468</f>
        <v>0</v>
      </c>
      <c r="Q1467" s="87">
        <f t="shared" si="305"/>
        <v>684.5</v>
      </c>
      <c r="R1467" s="13">
        <f>R1468</f>
        <v>0</v>
      </c>
      <c r="S1467" s="87">
        <f t="shared" si="301"/>
        <v>684.5</v>
      </c>
    </row>
    <row r="1468" spans="1:19" ht="12.75">
      <c r="A1468" s="62" t="str">
        <f ca="1" t="shared" si="306"/>
        <v>Уплата налогов, сборов и иных платежей</v>
      </c>
      <c r="B1468" s="115">
        <v>811</v>
      </c>
      <c r="C1468" s="8" t="s">
        <v>224</v>
      </c>
      <c r="D1468" s="8" t="s">
        <v>204</v>
      </c>
      <c r="E1468" s="115" t="s">
        <v>79</v>
      </c>
      <c r="F1468" s="115">
        <v>850</v>
      </c>
      <c r="G1468" s="70">
        <f>G1469+G1470</f>
        <v>684.5</v>
      </c>
      <c r="H1468" s="70">
        <f>H1469+H1470</f>
        <v>0</v>
      </c>
      <c r="I1468" s="70">
        <f t="shared" si="289"/>
        <v>684.5</v>
      </c>
      <c r="J1468" s="70">
        <f>J1469+J1470</f>
        <v>0</v>
      </c>
      <c r="K1468" s="87">
        <f t="shared" si="302"/>
        <v>684.5</v>
      </c>
      <c r="L1468" s="13">
        <f>L1469+L1470</f>
        <v>0</v>
      </c>
      <c r="M1468" s="87">
        <f t="shared" si="295"/>
        <v>684.5</v>
      </c>
      <c r="N1468" s="13">
        <f>N1469+N1470</f>
        <v>0</v>
      </c>
      <c r="O1468" s="87">
        <f t="shared" si="296"/>
        <v>684.5</v>
      </c>
      <c r="P1468" s="13">
        <f>P1469+P1470</f>
        <v>0</v>
      </c>
      <c r="Q1468" s="87">
        <f t="shared" si="305"/>
        <v>684.5</v>
      </c>
      <c r="R1468" s="13">
        <f>R1469+R1470</f>
        <v>0</v>
      </c>
      <c r="S1468" s="87">
        <f t="shared" si="301"/>
        <v>684.5</v>
      </c>
    </row>
    <row r="1469" spans="1:19" ht="12.75">
      <c r="A1469" s="62" t="str">
        <f ca="1">IF(ISERROR(MATCH(F1469,Код_КВР,0)),"",INDIRECT(ADDRESS(MATCH(F1469,Код_КВР,0)+1,2,,,"КВР")))</f>
        <v>Уплата налога на имущество организаций и земельного налога</v>
      </c>
      <c r="B1469" s="115">
        <v>811</v>
      </c>
      <c r="C1469" s="8" t="s">
        <v>224</v>
      </c>
      <c r="D1469" s="8" t="s">
        <v>204</v>
      </c>
      <c r="E1469" s="115" t="s">
        <v>79</v>
      </c>
      <c r="F1469" s="115">
        <v>851</v>
      </c>
      <c r="G1469" s="70">
        <v>183.1</v>
      </c>
      <c r="H1469" s="70"/>
      <c r="I1469" s="70">
        <f aca="true" t="shared" si="307" ref="I1469:I1542">G1469+H1469</f>
        <v>183.1</v>
      </c>
      <c r="J1469" s="70"/>
      <c r="K1469" s="87">
        <f t="shared" si="302"/>
        <v>183.1</v>
      </c>
      <c r="L1469" s="13"/>
      <c r="M1469" s="87">
        <f t="shared" si="295"/>
        <v>183.1</v>
      </c>
      <c r="N1469" s="13"/>
      <c r="O1469" s="87">
        <f t="shared" si="296"/>
        <v>183.1</v>
      </c>
      <c r="P1469" s="13"/>
      <c r="Q1469" s="87">
        <f t="shared" si="305"/>
        <v>183.1</v>
      </c>
      <c r="R1469" s="13"/>
      <c r="S1469" s="87">
        <f t="shared" si="301"/>
        <v>183.1</v>
      </c>
    </row>
    <row r="1470" spans="1:19" ht="12.75">
      <c r="A1470" s="62" t="str">
        <f ca="1">IF(ISERROR(MATCH(F1470,Код_КВР,0)),"",INDIRECT(ADDRESS(MATCH(F1470,Код_КВР,0)+1,2,,,"КВР")))</f>
        <v>Уплата прочих налогов, сборов и иных платежей</v>
      </c>
      <c r="B1470" s="115">
        <v>811</v>
      </c>
      <c r="C1470" s="8" t="s">
        <v>224</v>
      </c>
      <c r="D1470" s="8" t="s">
        <v>204</v>
      </c>
      <c r="E1470" s="115" t="s">
        <v>79</v>
      </c>
      <c r="F1470" s="115">
        <v>852</v>
      </c>
      <c r="G1470" s="70">
        <v>501.4</v>
      </c>
      <c r="H1470" s="70"/>
      <c r="I1470" s="70">
        <f t="shared" si="307"/>
        <v>501.4</v>
      </c>
      <c r="J1470" s="70"/>
      <c r="K1470" s="87">
        <f t="shared" si="302"/>
        <v>501.4</v>
      </c>
      <c r="L1470" s="13"/>
      <c r="M1470" s="87">
        <f t="shared" si="295"/>
        <v>501.4</v>
      </c>
      <c r="N1470" s="13"/>
      <c r="O1470" s="87">
        <f t="shared" si="296"/>
        <v>501.4</v>
      </c>
      <c r="P1470" s="13"/>
      <c r="Q1470" s="87">
        <f t="shared" si="305"/>
        <v>501.4</v>
      </c>
      <c r="R1470" s="13"/>
      <c r="S1470" s="87">
        <f t="shared" si="301"/>
        <v>501.4</v>
      </c>
    </row>
    <row r="1471" spans="1:19" ht="33">
      <c r="A1471" s="62" t="str">
        <f ca="1">IF(ISERROR(MATCH(E1471,Код_КЦСР,0)),"",INDIRECT(ADDRESS(MATCH(E1471,Код_КЦСР,0)+1,2,,,"КЦСР")))</f>
        <v>Непрограммные направления деятельности органов местного самоуправления</v>
      </c>
      <c r="B1471" s="115">
        <v>811</v>
      </c>
      <c r="C1471" s="8" t="s">
        <v>224</v>
      </c>
      <c r="D1471" s="8" t="s">
        <v>204</v>
      </c>
      <c r="E1471" s="115" t="s">
        <v>307</v>
      </c>
      <c r="F1471" s="115"/>
      <c r="G1471" s="70">
        <f>G1472</f>
        <v>37100.6</v>
      </c>
      <c r="H1471" s="70">
        <f>H1472</f>
        <v>0</v>
      </c>
      <c r="I1471" s="70">
        <f t="shared" si="307"/>
        <v>37100.6</v>
      </c>
      <c r="J1471" s="70">
        <f>J1472</f>
        <v>0</v>
      </c>
      <c r="K1471" s="87">
        <f t="shared" si="302"/>
        <v>37100.6</v>
      </c>
      <c r="L1471" s="13">
        <f>L1472</f>
        <v>0</v>
      </c>
      <c r="M1471" s="87">
        <f t="shared" si="295"/>
        <v>37100.6</v>
      </c>
      <c r="N1471" s="13">
        <f>N1472</f>
        <v>0</v>
      </c>
      <c r="O1471" s="87">
        <f t="shared" si="296"/>
        <v>37100.6</v>
      </c>
      <c r="P1471" s="13">
        <f>P1472</f>
        <v>0</v>
      </c>
      <c r="Q1471" s="87">
        <f t="shared" si="305"/>
        <v>37100.6</v>
      </c>
      <c r="R1471" s="13">
        <f>R1472</f>
        <v>0</v>
      </c>
      <c r="S1471" s="87">
        <f t="shared" si="301"/>
        <v>37100.6</v>
      </c>
    </row>
    <row r="1472" spans="1:19" ht="12.75">
      <c r="A1472" s="62" t="str">
        <f ca="1">IF(ISERROR(MATCH(E1472,Код_КЦСР,0)),"",INDIRECT(ADDRESS(MATCH(E1472,Код_КЦСР,0)+1,2,,,"КЦСР")))</f>
        <v>Расходы, не включенные в муниципальные программы города Череповца</v>
      </c>
      <c r="B1472" s="115">
        <v>811</v>
      </c>
      <c r="C1472" s="8" t="s">
        <v>224</v>
      </c>
      <c r="D1472" s="8" t="s">
        <v>204</v>
      </c>
      <c r="E1472" s="115" t="s">
        <v>309</v>
      </c>
      <c r="F1472" s="115"/>
      <c r="G1472" s="70">
        <f>G1473+G1483</f>
        <v>37100.6</v>
      </c>
      <c r="H1472" s="70">
        <f>H1473+H1483</f>
        <v>0</v>
      </c>
      <c r="I1472" s="70">
        <f t="shared" si="307"/>
        <v>37100.6</v>
      </c>
      <c r="J1472" s="70">
        <f>J1473+J1483</f>
        <v>0</v>
      </c>
      <c r="K1472" s="87">
        <f t="shared" si="302"/>
        <v>37100.6</v>
      </c>
      <c r="L1472" s="13">
        <f>L1473+L1483</f>
        <v>0</v>
      </c>
      <c r="M1472" s="87">
        <f t="shared" si="295"/>
        <v>37100.6</v>
      </c>
      <c r="N1472" s="13">
        <f>N1473+N1483</f>
        <v>0</v>
      </c>
      <c r="O1472" s="87">
        <f t="shared" si="296"/>
        <v>37100.6</v>
      </c>
      <c r="P1472" s="13">
        <f>P1473+P1483</f>
        <v>0</v>
      </c>
      <c r="Q1472" s="87">
        <f t="shared" si="305"/>
        <v>37100.6</v>
      </c>
      <c r="R1472" s="13">
        <f>R1473+R1483</f>
        <v>0</v>
      </c>
      <c r="S1472" s="87">
        <f t="shared" si="301"/>
        <v>37100.6</v>
      </c>
    </row>
    <row r="1473" spans="1:19" ht="33">
      <c r="A1473" s="62" t="str">
        <f ca="1">IF(ISERROR(MATCH(E1473,Код_КЦСР,0)),"",INDIRECT(ADDRESS(MATCH(E1473,Код_КЦСР,0)+1,2,,,"КЦСР")))</f>
        <v>Руководство и управление в сфере установленных функций органов местного самоуправления</v>
      </c>
      <c r="B1473" s="115">
        <v>811</v>
      </c>
      <c r="C1473" s="8" t="s">
        <v>224</v>
      </c>
      <c r="D1473" s="8" t="s">
        <v>204</v>
      </c>
      <c r="E1473" s="115" t="s">
        <v>311</v>
      </c>
      <c r="F1473" s="115"/>
      <c r="G1473" s="70">
        <f>G1474</f>
        <v>36988.299999999996</v>
      </c>
      <c r="H1473" s="70">
        <f>H1474</f>
        <v>0</v>
      </c>
      <c r="I1473" s="70">
        <f t="shared" si="307"/>
        <v>36988.299999999996</v>
      </c>
      <c r="J1473" s="70">
        <f>J1474</f>
        <v>0</v>
      </c>
      <c r="K1473" s="87">
        <f t="shared" si="302"/>
        <v>36988.299999999996</v>
      </c>
      <c r="L1473" s="13">
        <f>L1474</f>
        <v>0</v>
      </c>
      <c r="M1473" s="87">
        <f t="shared" si="295"/>
        <v>36988.299999999996</v>
      </c>
      <c r="N1473" s="13">
        <f>N1474</f>
        <v>0</v>
      </c>
      <c r="O1473" s="87">
        <f t="shared" si="296"/>
        <v>36988.299999999996</v>
      </c>
      <c r="P1473" s="13">
        <f>P1474</f>
        <v>0</v>
      </c>
      <c r="Q1473" s="87">
        <f t="shared" si="305"/>
        <v>36988.299999999996</v>
      </c>
      <c r="R1473" s="13">
        <f>R1474</f>
        <v>0</v>
      </c>
      <c r="S1473" s="87">
        <f t="shared" si="301"/>
        <v>36988.299999999996</v>
      </c>
    </row>
    <row r="1474" spans="1:19" ht="12.75">
      <c r="A1474" s="62" t="str">
        <f ca="1">IF(ISERROR(MATCH(E1474,Код_КЦСР,0)),"",INDIRECT(ADDRESS(MATCH(E1474,Код_КЦСР,0)+1,2,,,"КЦСР")))</f>
        <v>Центральный аппарат</v>
      </c>
      <c r="B1474" s="115">
        <v>811</v>
      </c>
      <c r="C1474" s="8" t="s">
        <v>224</v>
      </c>
      <c r="D1474" s="8" t="s">
        <v>204</v>
      </c>
      <c r="E1474" s="115" t="s">
        <v>314</v>
      </c>
      <c r="F1474" s="115"/>
      <c r="G1474" s="70">
        <f>G1475+G1477+G1480</f>
        <v>36988.299999999996</v>
      </c>
      <c r="H1474" s="70">
        <f>H1475+H1477+H1480</f>
        <v>0</v>
      </c>
      <c r="I1474" s="70">
        <f t="shared" si="307"/>
        <v>36988.299999999996</v>
      </c>
      <c r="J1474" s="70">
        <f>J1475+J1477+J1480</f>
        <v>0</v>
      </c>
      <c r="K1474" s="87">
        <f t="shared" si="302"/>
        <v>36988.299999999996</v>
      </c>
      <c r="L1474" s="13">
        <f>L1475+L1477+L1480</f>
        <v>0</v>
      </c>
      <c r="M1474" s="87">
        <f t="shared" si="295"/>
        <v>36988.299999999996</v>
      </c>
      <c r="N1474" s="13">
        <f>N1475+N1477+N1480</f>
        <v>0</v>
      </c>
      <c r="O1474" s="87">
        <f t="shared" si="296"/>
        <v>36988.299999999996</v>
      </c>
      <c r="P1474" s="13">
        <f>P1475+P1477+P1480</f>
        <v>0</v>
      </c>
      <c r="Q1474" s="87">
        <f t="shared" si="305"/>
        <v>36988.299999999996</v>
      </c>
      <c r="R1474" s="13">
        <f>R1475+R1477+R1480</f>
        <v>0</v>
      </c>
      <c r="S1474" s="87">
        <f t="shared" si="301"/>
        <v>36988.299999999996</v>
      </c>
    </row>
    <row r="1475" spans="1:19" ht="33">
      <c r="A1475" s="62" t="str">
        <f aca="true" t="shared" si="308" ref="A1475:A1481">IF(ISERROR(MATCH(F1475,Код_КВР,0)),"",INDIRECT(ADDRESS(MATCH(F1475,Код_КВР,0)+1,2,,,"КВР")))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75" s="115">
        <v>811</v>
      </c>
      <c r="C1475" s="8" t="s">
        <v>224</v>
      </c>
      <c r="D1475" s="8" t="s">
        <v>204</v>
      </c>
      <c r="E1475" s="115" t="s">
        <v>314</v>
      </c>
      <c r="F1475" s="115">
        <v>100</v>
      </c>
      <c r="G1475" s="70">
        <f>G1476</f>
        <v>36963.7</v>
      </c>
      <c r="H1475" s="70">
        <f>H1476</f>
        <v>0</v>
      </c>
      <c r="I1475" s="70">
        <f t="shared" si="307"/>
        <v>36963.7</v>
      </c>
      <c r="J1475" s="70">
        <f>J1476</f>
        <v>0</v>
      </c>
      <c r="K1475" s="87">
        <f t="shared" si="302"/>
        <v>36963.7</v>
      </c>
      <c r="L1475" s="13">
        <f>L1476</f>
        <v>0</v>
      </c>
      <c r="M1475" s="87">
        <f t="shared" si="295"/>
        <v>36963.7</v>
      </c>
      <c r="N1475" s="13">
        <f>N1476</f>
        <v>0</v>
      </c>
      <c r="O1475" s="87">
        <f t="shared" si="296"/>
        <v>36963.7</v>
      </c>
      <c r="P1475" s="13">
        <f>P1476</f>
        <v>0</v>
      </c>
      <c r="Q1475" s="87">
        <f t="shared" si="305"/>
        <v>36963.7</v>
      </c>
      <c r="R1475" s="13">
        <f>R1476</f>
        <v>-1.4</v>
      </c>
      <c r="S1475" s="87">
        <f t="shared" si="301"/>
        <v>36962.299999999996</v>
      </c>
    </row>
    <row r="1476" spans="1:19" ht="12.75">
      <c r="A1476" s="62" t="str">
        <f ca="1" t="shared" si="308"/>
        <v>Расходы на выплаты персоналу муниципальных органов</v>
      </c>
      <c r="B1476" s="115">
        <v>811</v>
      </c>
      <c r="C1476" s="8" t="s">
        <v>224</v>
      </c>
      <c r="D1476" s="8" t="s">
        <v>204</v>
      </c>
      <c r="E1476" s="115" t="s">
        <v>314</v>
      </c>
      <c r="F1476" s="115">
        <v>120</v>
      </c>
      <c r="G1476" s="70">
        <v>36963.7</v>
      </c>
      <c r="H1476" s="70"/>
      <c r="I1476" s="70">
        <f t="shared" si="307"/>
        <v>36963.7</v>
      </c>
      <c r="J1476" s="70"/>
      <c r="K1476" s="87">
        <f t="shared" si="302"/>
        <v>36963.7</v>
      </c>
      <c r="L1476" s="13"/>
      <c r="M1476" s="87">
        <f t="shared" si="295"/>
        <v>36963.7</v>
      </c>
      <c r="N1476" s="13"/>
      <c r="O1476" s="87">
        <f t="shared" si="296"/>
        <v>36963.7</v>
      </c>
      <c r="P1476" s="13"/>
      <c r="Q1476" s="87">
        <f t="shared" si="305"/>
        <v>36963.7</v>
      </c>
      <c r="R1476" s="13">
        <v>-1.4</v>
      </c>
      <c r="S1476" s="87">
        <f t="shared" si="301"/>
        <v>36962.299999999996</v>
      </c>
    </row>
    <row r="1477" spans="1:19" ht="12.75">
      <c r="A1477" s="62" t="str">
        <f ca="1" t="shared" si="308"/>
        <v>Закупка товаров, работ и услуг для муниципальных нужд</v>
      </c>
      <c r="B1477" s="115">
        <v>811</v>
      </c>
      <c r="C1477" s="8" t="s">
        <v>224</v>
      </c>
      <c r="D1477" s="8" t="s">
        <v>204</v>
      </c>
      <c r="E1477" s="115" t="s">
        <v>314</v>
      </c>
      <c r="F1477" s="115">
        <v>200</v>
      </c>
      <c r="G1477" s="70">
        <f>G1478</f>
        <v>21.6</v>
      </c>
      <c r="H1477" s="70">
        <f>H1478</f>
        <v>0</v>
      </c>
      <c r="I1477" s="70">
        <f t="shared" si="307"/>
        <v>21.6</v>
      </c>
      <c r="J1477" s="70">
        <f>J1478</f>
        <v>0</v>
      </c>
      <c r="K1477" s="87">
        <f t="shared" si="302"/>
        <v>21.6</v>
      </c>
      <c r="L1477" s="13">
        <f>L1478</f>
        <v>0</v>
      </c>
      <c r="M1477" s="87">
        <f t="shared" si="295"/>
        <v>21.6</v>
      </c>
      <c r="N1477" s="13">
        <f>N1478</f>
        <v>0</v>
      </c>
      <c r="O1477" s="87">
        <f t="shared" si="296"/>
        <v>21.6</v>
      </c>
      <c r="P1477" s="13">
        <f>P1478</f>
        <v>0</v>
      </c>
      <c r="Q1477" s="87">
        <f t="shared" si="305"/>
        <v>21.6</v>
      </c>
      <c r="R1477" s="13">
        <f>R1478</f>
        <v>1.4</v>
      </c>
      <c r="S1477" s="87">
        <f t="shared" si="301"/>
        <v>23</v>
      </c>
    </row>
    <row r="1478" spans="1:19" ht="33">
      <c r="A1478" s="62" t="str">
        <f ca="1" t="shared" si="308"/>
        <v>Иные закупки товаров, работ и услуг для обеспечения муниципальных нужд</v>
      </c>
      <c r="B1478" s="115">
        <v>811</v>
      </c>
      <c r="C1478" s="8" t="s">
        <v>224</v>
      </c>
      <c r="D1478" s="8" t="s">
        <v>204</v>
      </c>
      <c r="E1478" s="115" t="s">
        <v>314</v>
      </c>
      <c r="F1478" s="115">
        <v>240</v>
      </c>
      <c r="G1478" s="70">
        <f>G1479</f>
        <v>21.6</v>
      </c>
      <c r="H1478" s="70">
        <f>H1479</f>
        <v>0</v>
      </c>
      <c r="I1478" s="70">
        <f t="shared" si="307"/>
        <v>21.6</v>
      </c>
      <c r="J1478" s="70">
        <f>J1479</f>
        <v>0</v>
      </c>
      <c r="K1478" s="87">
        <f t="shared" si="302"/>
        <v>21.6</v>
      </c>
      <c r="L1478" s="13">
        <f>L1479</f>
        <v>0</v>
      </c>
      <c r="M1478" s="87">
        <f t="shared" si="295"/>
        <v>21.6</v>
      </c>
      <c r="N1478" s="13">
        <f>N1479</f>
        <v>0</v>
      </c>
      <c r="O1478" s="87">
        <f t="shared" si="296"/>
        <v>21.6</v>
      </c>
      <c r="P1478" s="13">
        <f>P1479</f>
        <v>0</v>
      </c>
      <c r="Q1478" s="87">
        <f t="shared" si="305"/>
        <v>21.6</v>
      </c>
      <c r="R1478" s="13">
        <f>R1479</f>
        <v>1.4</v>
      </c>
      <c r="S1478" s="87">
        <f t="shared" si="301"/>
        <v>23</v>
      </c>
    </row>
    <row r="1479" spans="1:19" ht="33">
      <c r="A1479" s="62" t="str">
        <f ca="1" t="shared" si="308"/>
        <v xml:space="preserve">Прочая закупка товаров, работ и услуг для обеспечения муниципальных нужд         </v>
      </c>
      <c r="B1479" s="115">
        <v>811</v>
      </c>
      <c r="C1479" s="8" t="s">
        <v>224</v>
      </c>
      <c r="D1479" s="8" t="s">
        <v>204</v>
      </c>
      <c r="E1479" s="115" t="s">
        <v>314</v>
      </c>
      <c r="F1479" s="115">
        <v>244</v>
      </c>
      <c r="G1479" s="70">
        <v>21.6</v>
      </c>
      <c r="H1479" s="70"/>
      <c r="I1479" s="70">
        <f t="shared" si="307"/>
        <v>21.6</v>
      </c>
      <c r="J1479" s="70"/>
      <c r="K1479" s="87">
        <f t="shared" si="302"/>
        <v>21.6</v>
      </c>
      <c r="L1479" s="13"/>
      <c r="M1479" s="87">
        <f t="shared" si="295"/>
        <v>21.6</v>
      </c>
      <c r="N1479" s="13"/>
      <c r="O1479" s="87">
        <f t="shared" si="296"/>
        <v>21.6</v>
      </c>
      <c r="P1479" s="13"/>
      <c r="Q1479" s="87">
        <f t="shared" si="305"/>
        <v>21.6</v>
      </c>
      <c r="R1479" s="13">
        <v>1.4</v>
      </c>
      <c r="S1479" s="87">
        <f t="shared" si="301"/>
        <v>23</v>
      </c>
    </row>
    <row r="1480" spans="1:19" ht="12.75">
      <c r="A1480" s="62" t="str">
        <f ca="1" t="shared" si="308"/>
        <v>Иные бюджетные ассигнования</v>
      </c>
      <c r="B1480" s="115">
        <v>811</v>
      </c>
      <c r="C1480" s="8" t="s">
        <v>224</v>
      </c>
      <c r="D1480" s="8" t="s">
        <v>204</v>
      </c>
      <c r="E1480" s="115" t="s">
        <v>314</v>
      </c>
      <c r="F1480" s="115">
        <v>800</v>
      </c>
      <c r="G1480" s="70">
        <f>G1481</f>
        <v>3</v>
      </c>
      <c r="H1480" s="70">
        <f>H1481</f>
        <v>0</v>
      </c>
      <c r="I1480" s="70">
        <f t="shared" si="307"/>
        <v>3</v>
      </c>
      <c r="J1480" s="70">
        <f>J1481</f>
        <v>0</v>
      </c>
      <c r="K1480" s="87">
        <f t="shared" si="302"/>
        <v>3</v>
      </c>
      <c r="L1480" s="13">
        <f>L1481</f>
        <v>0</v>
      </c>
      <c r="M1480" s="87">
        <f t="shared" si="295"/>
        <v>3</v>
      </c>
      <c r="N1480" s="13">
        <f>N1481</f>
        <v>0</v>
      </c>
      <c r="O1480" s="87">
        <f t="shared" si="296"/>
        <v>3</v>
      </c>
      <c r="P1480" s="13">
        <f>P1481</f>
        <v>0</v>
      </c>
      <c r="Q1480" s="87">
        <f t="shared" si="305"/>
        <v>3</v>
      </c>
      <c r="R1480" s="13">
        <f>R1481</f>
        <v>0</v>
      </c>
      <c r="S1480" s="87">
        <f t="shared" si="301"/>
        <v>3</v>
      </c>
    </row>
    <row r="1481" spans="1:19" ht="12.75">
      <c r="A1481" s="62" t="str">
        <f ca="1" t="shared" si="308"/>
        <v>Уплата налогов, сборов и иных платежей</v>
      </c>
      <c r="B1481" s="115">
        <v>811</v>
      </c>
      <c r="C1481" s="8" t="s">
        <v>224</v>
      </c>
      <c r="D1481" s="8" t="s">
        <v>204</v>
      </c>
      <c r="E1481" s="115" t="s">
        <v>314</v>
      </c>
      <c r="F1481" s="115">
        <v>850</v>
      </c>
      <c r="G1481" s="70">
        <f>G1482</f>
        <v>3</v>
      </c>
      <c r="H1481" s="70">
        <f>H1482</f>
        <v>0</v>
      </c>
      <c r="I1481" s="70">
        <f t="shared" si="307"/>
        <v>3</v>
      </c>
      <c r="J1481" s="70">
        <f>J1482</f>
        <v>0</v>
      </c>
      <c r="K1481" s="87">
        <f t="shared" si="302"/>
        <v>3</v>
      </c>
      <c r="L1481" s="13">
        <f>L1482</f>
        <v>0</v>
      </c>
      <c r="M1481" s="87">
        <f t="shared" si="295"/>
        <v>3</v>
      </c>
      <c r="N1481" s="13">
        <f>N1482</f>
        <v>0</v>
      </c>
      <c r="O1481" s="87">
        <f t="shared" si="296"/>
        <v>3</v>
      </c>
      <c r="P1481" s="13">
        <f>P1482</f>
        <v>0</v>
      </c>
      <c r="Q1481" s="87">
        <f t="shared" si="305"/>
        <v>3</v>
      </c>
      <c r="R1481" s="13">
        <f>R1482</f>
        <v>0</v>
      </c>
      <c r="S1481" s="87">
        <f t="shared" si="301"/>
        <v>3</v>
      </c>
    </row>
    <row r="1482" spans="1:19" ht="12.75">
      <c r="A1482" s="62" t="str">
        <f ca="1">IF(ISERROR(MATCH(F1482,Код_КВР,0)),"",INDIRECT(ADDRESS(MATCH(F1482,Код_КВР,0)+1,2,,,"КВР")))</f>
        <v>Уплата прочих налогов, сборов и иных платежей</v>
      </c>
      <c r="B1482" s="115">
        <v>811</v>
      </c>
      <c r="C1482" s="8" t="s">
        <v>224</v>
      </c>
      <c r="D1482" s="8" t="s">
        <v>204</v>
      </c>
      <c r="E1482" s="115" t="s">
        <v>314</v>
      </c>
      <c r="F1482" s="115">
        <v>852</v>
      </c>
      <c r="G1482" s="70">
        <v>3</v>
      </c>
      <c r="H1482" s="70"/>
      <c r="I1482" s="70">
        <f t="shared" si="307"/>
        <v>3</v>
      </c>
      <c r="J1482" s="70"/>
      <c r="K1482" s="87">
        <f t="shared" si="302"/>
        <v>3</v>
      </c>
      <c r="L1482" s="13"/>
      <c r="M1482" s="87">
        <f t="shared" si="295"/>
        <v>3</v>
      </c>
      <c r="N1482" s="13"/>
      <c r="O1482" s="87">
        <f t="shared" si="296"/>
        <v>3</v>
      </c>
      <c r="P1482" s="13"/>
      <c r="Q1482" s="87">
        <f t="shared" si="305"/>
        <v>3</v>
      </c>
      <c r="R1482" s="13"/>
      <c r="S1482" s="87">
        <f t="shared" si="301"/>
        <v>3</v>
      </c>
    </row>
    <row r="1483" spans="1:19" ht="135.2" customHeight="1">
      <c r="A1483" s="62" t="str">
        <f ca="1">IF(ISERROR(MATCH(E1483,Код_КЦСР,0)),"",INDIRECT(ADDRESS(MATCH(E1483,Код_КЦСР,0)+1,2,,,"КЦСР")))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483" s="115">
        <v>811</v>
      </c>
      <c r="C1483" s="8" t="s">
        <v>224</v>
      </c>
      <c r="D1483" s="8" t="s">
        <v>204</v>
      </c>
      <c r="E1483" s="115" t="s">
        <v>429</v>
      </c>
      <c r="F1483" s="115"/>
      <c r="G1483" s="70">
        <f>G1484</f>
        <v>112.3</v>
      </c>
      <c r="H1483" s="70">
        <f>H1484</f>
        <v>0</v>
      </c>
      <c r="I1483" s="70">
        <f t="shared" si="307"/>
        <v>112.3</v>
      </c>
      <c r="J1483" s="70">
        <f>J1484</f>
        <v>0</v>
      </c>
      <c r="K1483" s="87">
        <f t="shared" si="302"/>
        <v>112.3</v>
      </c>
      <c r="L1483" s="13">
        <f>L1484</f>
        <v>0</v>
      </c>
      <c r="M1483" s="87">
        <f t="shared" si="295"/>
        <v>112.3</v>
      </c>
      <c r="N1483" s="13">
        <f>N1484</f>
        <v>0</v>
      </c>
      <c r="O1483" s="87">
        <f t="shared" si="296"/>
        <v>112.3</v>
      </c>
      <c r="P1483" s="13">
        <f>P1484</f>
        <v>0</v>
      </c>
      <c r="Q1483" s="87">
        <f t="shared" si="305"/>
        <v>112.3</v>
      </c>
      <c r="R1483" s="13">
        <f>R1484</f>
        <v>0</v>
      </c>
      <c r="S1483" s="87">
        <f t="shared" si="301"/>
        <v>112.3</v>
      </c>
    </row>
    <row r="1484" spans="1:19" ht="33">
      <c r="A1484" s="62" t="str">
        <f ca="1">IF(ISERROR(MATCH(F1484,Код_КВР,0)),"",INDIRECT(ADDRESS(MATCH(F1484,Код_КВР,0)+1,2,,,"КВР")))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4" s="115">
        <v>811</v>
      </c>
      <c r="C1484" s="8" t="s">
        <v>224</v>
      </c>
      <c r="D1484" s="8" t="s">
        <v>204</v>
      </c>
      <c r="E1484" s="115" t="s">
        <v>429</v>
      </c>
      <c r="F1484" s="115">
        <v>100</v>
      </c>
      <c r="G1484" s="70">
        <f>G1485</f>
        <v>112.3</v>
      </c>
      <c r="H1484" s="70">
        <f>H1485</f>
        <v>0</v>
      </c>
      <c r="I1484" s="70">
        <f t="shared" si="307"/>
        <v>112.3</v>
      </c>
      <c r="J1484" s="70">
        <f>J1485</f>
        <v>0</v>
      </c>
      <c r="K1484" s="87">
        <f t="shared" si="302"/>
        <v>112.3</v>
      </c>
      <c r="L1484" s="13">
        <f>L1485</f>
        <v>0</v>
      </c>
      <c r="M1484" s="87">
        <f t="shared" si="295"/>
        <v>112.3</v>
      </c>
      <c r="N1484" s="13">
        <f>N1485</f>
        <v>0</v>
      </c>
      <c r="O1484" s="87">
        <f t="shared" si="296"/>
        <v>112.3</v>
      </c>
      <c r="P1484" s="13">
        <f>P1485</f>
        <v>0</v>
      </c>
      <c r="Q1484" s="87">
        <f t="shared" si="305"/>
        <v>112.3</v>
      </c>
      <c r="R1484" s="13">
        <f>R1485</f>
        <v>0</v>
      </c>
      <c r="S1484" s="87">
        <f t="shared" si="301"/>
        <v>112.3</v>
      </c>
    </row>
    <row r="1485" spans="1:19" ht="12.75">
      <c r="A1485" s="62" t="str">
        <f ca="1">IF(ISERROR(MATCH(F1485,Код_КВР,0)),"",INDIRECT(ADDRESS(MATCH(F1485,Код_КВР,0)+1,2,,,"КВР")))</f>
        <v>Расходы на выплаты персоналу муниципальных органов</v>
      </c>
      <c r="B1485" s="115">
        <v>811</v>
      </c>
      <c r="C1485" s="8" t="s">
        <v>224</v>
      </c>
      <c r="D1485" s="8" t="s">
        <v>204</v>
      </c>
      <c r="E1485" s="115" t="s">
        <v>429</v>
      </c>
      <c r="F1485" s="115">
        <v>120</v>
      </c>
      <c r="G1485" s="70">
        <v>112.3</v>
      </c>
      <c r="H1485" s="70"/>
      <c r="I1485" s="70">
        <f t="shared" si="307"/>
        <v>112.3</v>
      </c>
      <c r="J1485" s="70"/>
      <c r="K1485" s="87">
        <f t="shared" si="302"/>
        <v>112.3</v>
      </c>
      <c r="L1485" s="13"/>
      <c r="M1485" s="87">
        <f t="shared" si="295"/>
        <v>112.3</v>
      </c>
      <c r="N1485" s="13"/>
      <c r="O1485" s="87">
        <f t="shared" si="296"/>
        <v>112.3</v>
      </c>
      <c r="P1485" s="13"/>
      <c r="Q1485" s="87">
        <f t="shared" si="305"/>
        <v>112.3</v>
      </c>
      <c r="R1485" s="13"/>
      <c r="S1485" s="87">
        <f t="shared" si="301"/>
        <v>112.3</v>
      </c>
    </row>
    <row r="1486" spans="1:19" ht="12.75">
      <c r="A1486" s="62" t="str">
        <f ca="1">IF(ISERROR(MATCH(C1486,Код_Раздел,0)),"",INDIRECT(ADDRESS(MATCH(C1486,Код_Раздел,0)+1,2,,,"Раздел")))</f>
        <v>Жилищно-коммунальное хозяйство</v>
      </c>
      <c r="B1486" s="115">
        <v>811</v>
      </c>
      <c r="C1486" s="8" t="s">
        <v>229</v>
      </c>
      <c r="D1486" s="8"/>
      <c r="E1486" s="115"/>
      <c r="F1486" s="115"/>
      <c r="G1486" s="70">
        <f>G1493+G1504</f>
        <v>9522</v>
      </c>
      <c r="H1486" s="70">
        <f>H1493+H1504</f>
        <v>0</v>
      </c>
      <c r="I1486" s="70">
        <f t="shared" si="307"/>
        <v>9522</v>
      </c>
      <c r="J1486" s="70">
        <f>J1493+J1504</f>
        <v>0</v>
      </c>
      <c r="K1486" s="87">
        <f t="shared" si="302"/>
        <v>9522</v>
      </c>
      <c r="L1486" s="13">
        <f>L1493+L1504</f>
        <v>412.8000000000002</v>
      </c>
      <c r="M1486" s="87">
        <f t="shared" si="295"/>
        <v>9934.8</v>
      </c>
      <c r="N1486" s="13">
        <f>N1493+N1504</f>
        <v>3842.2</v>
      </c>
      <c r="O1486" s="87">
        <f t="shared" si="296"/>
        <v>13777</v>
      </c>
      <c r="P1486" s="13">
        <f>P1493+P1504</f>
        <v>0</v>
      </c>
      <c r="Q1486" s="87">
        <f t="shared" si="305"/>
        <v>13777</v>
      </c>
      <c r="R1486" s="13">
        <f>R1493+R1504+R1487</f>
        <v>1797.4</v>
      </c>
      <c r="S1486" s="87">
        <f t="shared" si="301"/>
        <v>15574.4</v>
      </c>
    </row>
    <row r="1487" spans="1:19" s="94" customFormat="1" ht="12.75">
      <c r="A1487" s="12" t="s">
        <v>234</v>
      </c>
      <c r="B1487" s="129">
        <v>811</v>
      </c>
      <c r="C1487" s="8" t="s">
        <v>229</v>
      </c>
      <c r="D1487" s="8" t="s">
        <v>221</v>
      </c>
      <c r="E1487" s="129"/>
      <c r="F1487" s="129"/>
      <c r="G1487" s="70"/>
      <c r="H1487" s="70"/>
      <c r="I1487" s="70"/>
      <c r="J1487" s="70"/>
      <c r="K1487" s="87"/>
      <c r="L1487" s="13"/>
      <c r="M1487" s="87"/>
      <c r="N1487" s="13"/>
      <c r="O1487" s="87"/>
      <c r="P1487" s="13"/>
      <c r="Q1487" s="87"/>
      <c r="R1487" s="13">
        <f>R1488</f>
        <v>186.4</v>
      </c>
      <c r="S1487" s="87">
        <f t="shared" si="301"/>
        <v>186.4</v>
      </c>
    </row>
    <row r="1488" spans="1:19" s="94" customFormat="1" ht="49.5">
      <c r="A1488" s="62" t="str">
        <f ca="1">IF(ISERROR(MATCH(E1488,Код_КЦСР,0)),"",INDIRECT(ADDRESS(MATCH(E1488,Код_КЦСР,0)+1,2,,,"КЦСР")))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88" s="129">
        <v>811</v>
      </c>
      <c r="C1488" s="8" t="s">
        <v>229</v>
      </c>
      <c r="D1488" s="8" t="s">
        <v>221</v>
      </c>
      <c r="E1488" s="129" t="s">
        <v>70</v>
      </c>
      <c r="F1488" s="129"/>
      <c r="G1488" s="70"/>
      <c r="H1488" s="70"/>
      <c r="I1488" s="70"/>
      <c r="J1488" s="70"/>
      <c r="K1488" s="87"/>
      <c r="L1488" s="13"/>
      <c r="M1488" s="87"/>
      <c r="N1488" s="13"/>
      <c r="O1488" s="87"/>
      <c r="P1488" s="13"/>
      <c r="Q1488" s="87"/>
      <c r="R1488" s="13">
        <f>R1489</f>
        <v>186.4</v>
      </c>
      <c r="S1488" s="87">
        <f t="shared" si="301"/>
        <v>186.4</v>
      </c>
    </row>
    <row r="1489" spans="1:19" s="94" customFormat="1" ht="12.75">
      <c r="A1489" s="62" t="str">
        <f ca="1">IF(ISERROR(MATCH(E1489,Код_КЦСР,0)),"",INDIRECT(ADDRESS(MATCH(E1489,Код_КЦСР,0)+1,2,,,"КЦСР")))</f>
        <v>Капитальный ремонт  объектов муниципальной собственности</v>
      </c>
      <c r="B1489" s="129">
        <v>811</v>
      </c>
      <c r="C1489" s="8" t="s">
        <v>229</v>
      </c>
      <c r="D1489" s="8" t="s">
        <v>221</v>
      </c>
      <c r="E1489" s="129" t="s">
        <v>78</v>
      </c>
      <c r="F1489" s="129"/>
      <c r="G1489" s="70"/>
      <c r="H1489" s="70"/>
      <c r="I1489" s="70"/>
      <c r="J1489" s="70"/>
      <c r="K1489" s="87"/>
      <c r="L1489" s="13"/>
      <c r="M1489" s="87"/>
      <c r="N1489" s="13"/>
      <c r="O1489" s="87"/>
      <c r="P1489" s="13"/>
      <c r="Q1489" s="87"/>
      <c r="R1489" s="13">
        <f>R1490</f>
        <v>186.4</v>
      </c>
      <c r="S1489" s="87">
        <f t="shared" si="301"/>
        <v>186.4</v>
      </c>
    </row>
    <row r="1490" spans="1:19" s="94" customFormat="1" ht="21.95" customHeight="1">
      <c r="A1490" s="62" t="str">
        <f ca="1">IF(ISERROR(MATCH(F1490,Код_КВР,0)),"",INDIRECT(ADDRESS(MATCH(F1490,Код_КВР,0)+1,2,,,"КВР")))</f>
        <v>Закупка товаров, работ и услуг для муниципальных нужд</v>
      </c>
      <c r="B1490" s="129">
        <v>811</v>
      </c>
      <c r="C1490" s="8" t="s">
        <v>229</v>
      </c>
      <c r="D1490" s="8" t="s">
        <v>221</v>
      </c>
      <c r="E1490" s="129" t="s">
        <v>78</v>
      </c>
      <c r="F1490" s="129">
        <v>200</v>
      </c>
      <c r="G1490" s="70"/>
      <c r="H1490" s="70"/>
      <c r="I1490" s="70"/>
      <c r="J1490" s="70"/>
      <c r="K1490" s="87"/>
      <c r="L1490" s="13"/>
      <c r="M1490" s="87"/>
      <c r="N1490" s="13"/>
      <c r="O1490" s="87"/>
      <c r="P1490" s="13"/>
      <c r="Q1490" s="87"/>
      <c r="R1490" s="13">
        <f>R1491</f>
        <v>186.4</v>
      </c>
      <c r="S1490" s="87">
        <f t="shared" si="301"/>
        <v>186.4</v>
      </c>
    </row>
    <row r="1491" spans="1:19" s="94" customFormat="1" ht="37.5" customHeight="1">
      <c r="A1491" s="62" t="str">
        <f ca="1">IF(ISERROR(MATCH(F1491,Код_КВР,0)),"",INDIRECT(ADDRESS(MATCH(F1491,Код_КВР,0)+1,2,,,"КВР")))</f>
        <v>Иные закупки товаров, работ и услуг для обеспечения муниципальных нужд</v>
      </c>
      <c r="B1491" s="129">
        <v>811</v>
      </c>
      <c r="C1491" s="8" t="s">
        <v>229</v>
      </c>
      <c r="D1491" s="8" t="s">
        <v>221</v>
      </c>
      <c r="E1491" s="129" t="s">
        <v>78</v>
      </c>
      <c r="F1491" s="129">
        <v>240</v>
      </c>
      <c r="G1491" s="70"/>
      <c r="H1491" s="70"/>
      <c r="I1491" s="70"/>
      <c r="J1491" s="70"/>
      <c r="K1491" s="87"/>
      <c r="L1491" s="13"/>
      <c r="M1491" s="87"/>
      <c r="N1491" s="13"/>
      <c r="O1491" s="87"/>
      <c r="P1491" s="13"/>
      <c r="Q1491" s="87"/>
      <c r="R1491" s="13">
        <f>R1492</f>
        <v>186.4</v>
      </c>
      <c r="S1491" s="87">
        <f t="shared" si="301"/>
        <v>186.4</v>
      </c>
    </row>
    <row r="1492" spans="1:19" s="94" customFormat="1" ht="33">
      <c r="A1492" s="62" t="str">
        <f ca="1">IF(ISERROR(MATCH(F1492,Код_КВР,0)),"",INDIRECT(ADDRESS(MATCH(F1492,Код_КВР,0)+1,2,,,"КВР")))</f>
        <v>Закупка товаров, работ, услуг в целях капитального ремонта муниципального имущества</v>
      </c>
      <c r="B1492" s="129">
        <v>811</v>
      </c>
      <c r="C1492" s="8" t="s">
        <v>229</v>
      </c>
      <c r="D1492" s="8" t="s">
        <v>221</v>
      </c>
      <c r="E1492" s="129" t="s">
        <v>78</v>
      </c>
      <c r="F1492" s="129">
        <v>243</v>
      </c>
      <c r="G1492" s="70"/>
      <c r="H1492" s="70"/>
      <c r="I1492" s="70"/>
      <c r="J1492" s="70"/>
      <c r="K1492" s="87"/>
      <c r="L1492" s="13"/>
      <c r="M1492" s="87"/>
      <c r="N1492" s="13"/>
      <c r="O1492" s="87"/>
      <c r="P1492" s="13"/>
      <c r="Q1492" s="87"/>
      <c r="R1492" s="13">
        <f>186.4</f>
        <v>186.4</v>
      </c>
      <c r="S1492" s="87">
        <f t="shared" si="301"/>
        <v>186.4</v>
      </c>
    </row>
    <row r="1493" spans="1:19" ht="12.75">
      <c r="A1493" s="12" t="s">
        <v>261</v>
      </c>
      <c r="B1493" s="115">
        <v>811</v>
      </c>
      <c r="C1493" s="8" t="s">
        <v>229</v>
      </c>
      <c r="D1493" s="8" t="s">
        <v>222</v>
      </c>
      <c r="E1493" s="115"/>
      <c r="F1493" s="115"/>
      <c r="G1493" s="70">
        <f aca="true" t="shared" si="309" ref="G1493:R1498">G1494</f>
        <v>4522</v>
      </c>
      <c r="H1493" s="70">
        <f t="shared" si="309"/>
        <v>0</v>
      </c>
      <c r="I1493" s="70">
        <f t="shared" si="307"/>
        <v>4522</v>
      </c>
      <c r="J1493" s="70">
        <f t="shared" si="309"/>
        <v>0</v>
      </c>
      <c r="K1493" s="87">
        <f t="shared" si="302"/>
        <v>4522</v>
      </c>
      <c r="L1493" s="13">
        <f t="shared" si="309"/>
        <v>412.8000000000002</v>
      </c>
      <c r="M1493" s="87">
        <f t="shared" si="295"/>
        <v>4934.8</v>
      </c>
      <c r="N1493" s="13">
        <f t="shared" si="309"/>
        <v>0</v>
      </c>
      <c r="O1493" s="87">
        <f t="shared" si="296"/>
        <v>4934.8</v>
      </c>
      <c r="P1493" s="13">
        <f t="shared" si="309"/>
        <v>0</v>
      </c>
      <c r="Q1493" s="87">
        <f t="shared" si="305"/>
        <v>4934.8</v>
      </c>
      <c r="R1493" s="13">
        <f t="shared" si="309"/>
        <v>1611</v>
      </c>
      <c r="S1493" s="87">
        <f t="shared" si="301"/>
        <v>6545.8</v>
      </c>
    </row>
    <row r="1494" spans="1:19" ht="49.5">
      <c r="A1494" s="62" t="str">
        <f ca="1">IF(ISERROR(MATCH(E1494,Код_КЦСР,0)),"",INDIRECT(ADDRESS(MATCH(E1494,Код_КЦСР,0)+1,2,,,"КЦСР")))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94" s="115">
        <v>811</v>
      </c>
      <c r="C1494" s="8" t="s">
        <v>229</v>
      </c>
      <c r="D1494" s="8" t="s">
        <v>222</v>
      </c>
      <c r="E1494" s="115" t="s">
        <v>70</v>
      </c>
      <c r="F1494" s="115"/>
      <c r="G1494" s="70">
        <f t="shared" si="309"/>
        <v>4522</v>
      </c>
      <c r="H1494" s="70">
        <f t="shared" si="309"/>
        <v>0</v>
      </c>
      <c r="I1494" s="70">
        <f t="shared" si="307"/>
        <v>4522</v>
      </c>
      <c r="J1494" s="70">
        <f t="shared" si="309"/>
        <v>0</v>
      </c>
      <c r="K1494" s="87">
        <f t="shared" si="302"/>
        <v>4522</v>
      </c>
      <c r="L1494" s="13">
        <f t="shared" si="309"/>
        <v>412.8000000000002</v>
      </c>
      <c r="M1494" s="87">
        <f t="shared" si="295"/>
        <v>4934.8</v>
      </c>
      <c r="N1494" s="13">
        <f t="shared" si="309"/>
        <v>0</v>
      </c>
      <c r="O1494" s="87">
        <f t="shared" si="296"/>
        <v>4934.8</v>
      </c>
      <c r="P1494" s="13">
        <f t="shared" si="309"/>
        <v>0</v>
      </c>
      <c r="Q1494" s="87">
        <f t="shared" si="305"/>
        <v>4934.8</v>
      </c>
      <c r="R1494" s="13">
        <f t="shared" si="309"/>
        <v>1611</v>
      </c>
      <c r="S1494" s="87">
        <f t="shared" si="301"/>
        <v>6545.8</v>
      </c>
    </row>
    <row r="1495" spans="1:19" ht="33">
      <c r="A1495" s="62" t="str">
        <f ca="1">IF(ISERROR(MATCH(E1495,Код_КЦСР,0)),"",INDIRECT(ADDRESS(MATCH(E1495,Код_КЦСР,0)+1,2,,,"КЦСР")))</f>
        <v>Капитальное строительство и реконструкция объектов муниципальной собственности</v>
      </c>
      <c r="B1495" s="115">
        <v>811</v>
      </c>
      <c r="C1495" s="8" t="s">
        <v>229</v>
      </c>
      <c r="D1495" s="8" t="s">
        <v>222</v>
      </c>
      <c r="E1495" s="115" t="s">
        <v>72</v>
      </c>
      <c r="F1495" s="115"/>
      <c r="G1495" s="70">
        <f t="shared" si="309"/>
        <v>4522</v>
      </c>
      <c r="H1495" s="70">
        <f t="shared" si="309"/>
        <v>0</v>
      </c>
      <c r="I1495" s="70">
        <f t="shared" si="307"/>
        <v>4522</v>
      </c>
      <c r="J1495" s="70">
        <f t="shared" si="309"/>
        <v>0</v>
      </c>
      <c r="K1495" s="87">
        <f t="shared" si="302"/>
        <v>4522</v>
      </c>
      <c r="L1495" s="13">
        <f>L1496+L1500</f>
        <v>412.8000000000002</v>
      </c>
      <c r="M1495" s="87">
        <f t="shared" si="295"/>
        <v>4934.8</v>
      </c>
      <c r="N1495" s="13">
        <f>N1496+N1500</f>
        <v>0</v>
      </c>
      <c r="O1495" s="87">
        <f t="shared" si="296"/>
        <v>4934.8</v>
      </c>
      <c r="P1495" s="13">
        <f>P1496+P1500</f>
        <v>0</v>
      </c>
      <c r="Q1495" s="87">
        <f t="shared" si="305"/>
        <v>4934.8</v>
      </c>
      <c r="R1495" s="13">
        <f>R1496+R1500</f>
        <v>1611</v>
      </c>
      <c r="S1495" s="87">
        <f t="shared" si="301"/>
        <v>6545.8</v>
      </c>
    </row>
    <row r="1496" spans="1:19" ht="12.75">
      <c r="A1496" s="62" t="str">
        <f ca="1">IF(ISERROR(MATCH(E1496,Код_КЦСР,0)),"",INDIRECT(ADDRESS(MATCH(E1496,Код_КЦСР,0)+1,2,,,"КЦСР")))</f>
        <v>Строительство полигона твердых бытовых отходов (ТБО) №2</v>
      </c>
      <c r="B1496" s="115">
        <v>811</v>
      </c>
      <c r="C1496" s="8" t="s">
        <v>229</v>
      </c>
      <c r="D1496" s="8" t="s">
        <v>222</v>
      </c>
      <c r="E1496" s="115" t="s">
        <v>77</v>
      </c>
      <c r="F1496" s="115"/>
      <c r="G1496" s="70">
        <f t="shared" si="309"/>
        <v>4522</v>
      </c>
      <c r="H1496" s="70">
        <f t="shared" si="309"/>
        <v>0</v>
      </c>
      <c r="I1496" s="70">
        <f t="shared" si="307"/>
        <v>4522</v>
      </c>
      <c r="J1496" s="70">
        <f t="shared" si="309"/>
        <v>0</v>
      </c>
      <c r="K1496" s="87">
        <f t="shared" si="302"/>
        <v>4522</v>
      </c>
      <c r="L1496" s="13">
        <f t="shared" si="309"/>
        <v>-2087.2</v>
      </c>
      <c r="M1496" s="87">
        <f t="shared" si="295"/>
        <v>2434.8</v>
      </c>
      <c r="N1496" s="13">
        <f t="shared" si="309"/>
        <v>0</v>
      </c>
      <c r="O1496" s="87">
        <f t="shared" si="296"/>
        <v>2434.8</v>
      </c>
      <c r="P1496" s="13">
        <f t="shared" si="309"/>
        <v>0</v>
      </c>
      <c r="Q1496" s="87">
        <f t="shared" si="305"/>
        <v>2434.8</v>
      </c>
      <c r="R1496" s="13">
        <f t="shared" si="309"/>
        <v>1611</v>
      </c>
      <c r="S1496" s="87">
        <f t="shared" si="301"/>
        <v>4045.8</v>
      </c>
    </row>
    <row r="1497" spans="1:19" ht="33">
      <c r="A1497" s="62" t="str">
        <f ca="1">IF(ISERROR(MATCH(F1497,Код_КВР,0)),"",INDIRECT(ADDRESS(MATCH(F1497,Код_КВР,0)+1,2,,,"КВР")))</f>
        <v>Капитальные вложения в объекты недвижимого имущества муниципальной собственности</v>
      </c>
      <c r="B1497" s="115">
        <v>811</v>
      </c>
      <c r="C1497" s="8" t="s">
        <v>229</v>
      </c>
      <c r="D1497" s="8" t="s">
        <v>222</v>
      </c>
      <c r="E1497" s="115" t="s">
        <v>77</v>
      </c>
      <c r="F1497" s="115">
        <v>400</v>
      </c>
      <c r="G1497" s="70">
        <f t="shared" si="309"/>
        <v>4522</v>
      </c>
      <c r="H1497" s="70">
        <f t="shared" si="309"/>
        <v>0</v>
      </c>
      <c r="I1497" s="70">
        <f t="shared" si="307"/>
        <v>4522</v>
      </c>
      <c r="J1497" s="70">
        <f t="shared" si="309"/>
        <v>0</v>
      </c>
      <c r="K1497" s="87">
        <f t="shared" si="302"/>
        <v>4522</v>
      </c>
      <c r="L1497" s="13">
        <f t="shared" si="309"/>
        <v>-2087.2</v>
      </c>
      <c r="M1497" s="87">
        <f t="shared" si="295"/>
        <v>2434.8</v>
      </c>
      <c r="N1497" s="13">
        <f t="shared" si="309"/>
        <v>0</v>
      </c>
      <c r="O1497" s="87">
        <f t="shared" si="296"/>
        <v>2434.8</v>
      </c>
      <c r="P1497" s="13">
        <f t="shared" si="309"/>
        <v>0</v>
      </c>
      <c r="Q1497" s="87">
        <f t="shared" si="305"/>
        <v>2434.8</v>
      </c>
      <c r="R1497" s="13">
        <f t="shared" si="309"/>
        <v>1611</v>
      </c>
      <c r="S1497" s="87">
        <f t="shared" si="301"/>
        <v>4045.8</v>
      </c>
    </row>
    <row r="1498" spans="1:19" ht="12.75">
      <c r="A1498" s="62" t="str">
        <f ca="1">IF(ISERROR(MATCH(F1498,Код_КВР,0)),"",INDIRECT(ADDRESS(MATCH(F1498,Код_КВР,0)+1,2,,,"КВР")))</f>
        <v>Бюджетные инвестиции</v>
      </c>
      <c r="B1498" s="115">
        <v>811</v>
      </c>
      <c r="C1498" s="8" t="s">
        <v>229</v>
      </c>
      <c r="D1498" s="8" t="s">
        <v>222</v>
      </c>
      <c r="E1498" s="115" t="s">
        <v>77</v>
      </c>
      <c r="F1498" s="115">
        <v>410</v>
      </c>
      <c r="G1498" s="70">
        <f t="shared" si="309"/>
        <v>4522</v>
      </c>
      <c r="H1498" s="70">
        <f t="shared" si="309"/>
        <v>0</v>
      </c>
      <c r="I1498" s="70">
        <f t="shared" si="307"/>
        <v>4522</v>
      </c>
      <c r="J1498" s="70">
        <f t="shared" si="309"/>
        <v>0</v>
      </c>
      <c r="K1498" s="87">
        <f t="shared" si="302"/>
        <v>4522</v>
      </c>
      <c r="L1498" s="13">
        <f t="shared" si="309"/>
        <v>-2087.2</v>
      </c>
      <c r="M1498" s="87">
        <f t="shared" si="295"/>
        <v>2434.8</v>
      </c>
      <c r="N1498" s="13">
        <f t="shared" si="309"/>
        <v>0</v>
      </c>
      <c r="O1498" s="87">
        <f t="shared" si="296"/>
        <v>2434.8</v>
      </c>
      <c r="P1498" s="13">
        <f t="shared" si="309"/>
        <v>0</v>
      </c>
      <c r="Q1498" s="87">
        <f t="shared" si="305"/>
        <v>2434.8</v>
      </c>
      <c r="R1498" s="13">
        <f t="shared" si="309"/>
        <v>1611</v>
      </c>
      <c r="S1498" s="87">
        <f t="shared" si="301"/>
        <v>4045.8</v>
      </c>
    </row>
    <row r="1499" spans="1:19" ht="33">
      <c r="A1499" s="62" t="str">
        <f ca="1">IF(ISERROR(MATCH(F1499,Код_КВР,0)),"",INDIRECT(ADDRESS(MATCH(F1499,Код_КВР,0)+1,2,,,"КВР")))</f>
        <v>Бюджетные инвестиции в объекты капитального строительства муниципальной собственности</v>
      </c>
      <c r="B1499" s="115">
        <v>811</v>
      </c>
      <c r="C1499" s="8" t="s">
        <v>229</v>
      </c>
      <c r="D1499" s="8" t="s">
        <v>222</v>
      </c>
      <c r="E1499" s="115" t="s">
        <v>77</v>
      </c>
      <c r="F1499" s="115">
        <v>414</v>
      </c>
      <c r="G1499" s="70">
        <v>4522</v>
      </c>
      <c r="H1499" s="70"/>
      <c r="I1499" s="70">
        <f t="shared" si="307"/>
        <v>4522</v>
      </c>
      <c r="J1499" s="70"/>
      <c r="K1499" s="87">
        <f t="shared" si="302"/>
        <v>4522</v>
      </c>
      <c r="L1499" s="13">
        <v>-2087.2</v>
      </c>
      <c r="M1499" s="87">
        <f t="shared" si="295"/>
        <v>2434.8</v>
      </c>
      <c r="N1499" s="13"/>
      <c r="O1499" s="87">
        <f t="shared" si="296"/>
        <v>2434.8</v>
      </c>
      <c r="P1499" s="13"/>
      <c r="Q1499" s="87">
        <f t="shared" si="305"/>
        <v>2434.8</v>
      </c>
      <c r="R1499" s="13">
        <v>1611</v>
      </c>
      <c r="S1499" s="87">
        <f t="shared" si="301"/>
        <v>4045.8</v>
      </c>
    </row>
    <row r="1500" spans="1:19" ht="15.75" customHeight="1">
      <c r="A1500" s="62" t="str">
        <f ca="1">IF(ISERROR(MATCH(E1500,Код_КЦСР,0)),"",INDIRECT(ADDRESS(MATCH(E1500,Код_КЦСР,0)+1,2,,,"КЦСР")))</f>
        <v>Туристско-рекреационный кластер «Центральная городская набережная»</v>
      </c>
      <c r="B1500" s="115">
        <v>811</v>
      </c>
      <c r="C1500" s="8" t="s">
        <v>229</v>
      </c>
      <c r="D1500" s="8" t="s">
        <v>222</v>
      </c>
      <c r="E1500" s="115" t="s">
        <v>632</v>
      </c>
      <c r="F1500" s="115"/>
      <c r="G1500" s="70"/>
      <c r="H1500" s="70"/>
      <c r="I1500" s="70"/>
      <c r="J1500" s="70"/>
      <c r="K1500" s="87"/>
      <c r="L1500" s="13">
        <f>L1501</f>
        <v>2500</v>
      </c>
      <c r="M1500" s="87">
        <f t="shared" si="295"/>
        <v>2500</v>
      </c>
      <c r="N1500" s="13">
        <f>N1501</f>
        <v>0</v>
      </c>
      <c r="O1500" s="87">
        <f t="shared" si="296"/>
        <v>2500</v>
      </c>
      <c r="P1500" s="13">
        <f>P1501</f>
        <v>0</v>
      </c>
      <c r="Q1500" s="87">
        <f t="shared" si="305"/>
        <v>2500</v>
      </c>
      <c r="R1500" s="13">
        <f>R1501</f>
        <v>0</v>
      </c>
      <c r="S1500" s="87">
        <f t="shared" si="301"/>
        <v>2500</v>
      </c>
    </row>
    <row r="1501" spans="1:19" ht="42.75" customHeight="1">
      <c r="A1501" s="62" t="str">
        <f ca="1">IF(ISERROR(MATCH(F1501,Код_КВР,0)),"",INDIRECT(ADDRESS(MATCH(F1501,Код_КВР,0)+1,2,,,"КВР")))</f>
        <v>Капитальные вложения в объекты недвижимого имущества муниципальной собственности</v>
      </c>
      <c r="B1501" s="115">
        <v>811</v>
      </c>
      <c r="C1501" s="8" t="s">
        <v>229</v>
      </c>
      <c r="D1501" s="8" t="s">
        <v>222</v>
      </c>
      <c r="E1501" s="115" t="s">
        <v>632</v>
      </c>
      <c r="F1501" s="115">
        <v>400</v>
      </c>
      <c r="G1501" s="70"/>
      <c r="H1501" s="70"/>
      <c r="I1501" s="70"/>
      <c r="J1501" s="70"/>
      <c r="K1501" s="87"/>
      <c r="L1501" s="13">
        <f>L1502</f>
        <v>2500</v>
      </c>
      <c r="M1501" s="87">
        <f t="shared" si="295"/>
        <v>2500</v>
      </c>
      <c r="N1501" s="13">
        <f>N1502</f>
        <v>0</v>
      </c>
      <c r="O1501" s="87">
        <f t="shared" si="296"/>
        <v>2500</v>
      </c>
      <c r="P1501" s="13">
        <f>P1502</f>
        <v>0</v>
      </c>
      <c r="Q1501" s="87">
        <f t="shared" si="305"/>
        <v>2500</v>
      </c>
      <c r="R1501" s="13">
        <f>R1502</f>
        <v>0</v>
      </c>
      <c r="S1501" s="87">
        <f t="shared" si="301"/>
        <v>2500</v>
      </c>
    </row>
    <row r="1502" spans="1:19" ht="12.75">
      <c r="A1502" s="62" t="str">
        <f ca="1">IF(ISERROR(MATCH(F1502,Код_КВР,0)),"",INDIRECT(ADDRESS(MATCH(F1502,Код_КВР,0)+1,2,,,"КВР")))</f>
        <v>Бюджетные инвестиции</v>
      </c>
      <c r="B1502" s="115">
        <v>811</v>
      </c>
      <c r="C1502" s="8" t="s">
        <v>229</v>
      </c>
      <c r="D1502" s="8" t="s">
        <v>222</v>
      </c>
      <c r="E1502" s="115" t="s">
        <v>632</v>
      </c>
      <c r="F1502" s="115">
        <v>410</v>
      </c>
      <c r="G1502" s="70"/>
      <c r="H1502" s="70"/>
      <c r="I1502" s="70"/>
      <c r="J1502" s="70"/>
      <c r="K1502" s="87"/>
      <c r="L1502" s="13">
        <f>L1503</f>
        <v>2500</v>
      </c>
      <c r="M1502" s="87">
        <f t="shared" si="295"/>
        <v>2500</v>
      </c>
      <c r="N1502" s="13">
        <f>N1503</f>
        <v>0</v>
      </c>
      <c r="O1502" s="87">
        <f t="shared" si="296"/>
        <v>2500</v>
      </c>
      <c r="P1502" s="13">
        <f>P1503</f>
        <v>0</v>
      </c>
      <c r="Q1502" s="87">
        <f t="shared" si="305"/>
        <v>2500</v>
      </c>
      <c r="R1502" s="13">
        <f>R1503</f>
        <v>0</v>
      </c>
      <c r="S1502" s="87">
        <f t="shared" si="301"/>
        <v>2500</v>
      </c>
    </row>
    <row r="1503" spans="1:19" ht="33">
      <c r="A1503" s="62" t="str">
        <f ca="1">IF(ISERROR(MATCH(F1503,Код_КВР,0)),"",INDIRECT(ADDRESS(MATCH(F1503,Код_КВР,0)+1,2,,,"КВР")))</f>
        <v>Бюджетные инвестиции в объекты капитального строительства муниципальной собственности</v>
      </c>
      <c r="B1503" s="115">
        <v>811</v>
      </c>
      <c r="C1503" s="8" t="s">
        <v>229</v>
      </c>
      <c r="D1503" s="8" t="s">
        <v>222</v>
      </c>
      <c r="E1503" s="115" t="s">
        <v>632</v>
      </c>
      <c r="F1503" s="115">
        <v>414</v>
      </c>
      <c r="G1503" s="70"/>
      <c r="H1503" s="70"/>
      <c r="I1503" s="70"/>
      <c r="J1503" s="70"/>
      <c r="K1503" s="87"/>
      <c r="L1503" s="13">
        <v>2500</v>
      </c>
      <c r="M1503" s="87">
        <f t="shared" si="295"/>
        <v>2500</v>
      </c>
      <c r="N1503" s="13"/>
      <c r="O1503" s="87">
        <f t="shared" si="296"/>
        <v>2500</v>
      </c>
      <c r="P1503" s="13"/>
      <c r="Q1503" s="87">
        <f t="shared" si="305"/>
        <v>2500</v>
      </c>
      <c r="R1503" s="13"/>
      <c r="S1503" s="87">
        <f t="shared" si="301"/>
        <v>2500</v>
      </c>
    </row>
    <row r="1504" spans="1:19" ht="12.75">
      <c r="A1504" s="62" t="s">
        <v>260</v>
      </c>
      <c r="B1504" s="115">
        <v>811</v>
      </c>
      <c r="C1504" s="8" t="s">
        <v>229</v>
      </c>
      <c r="D1504" s="8" t="s">
        <v>223</v>
      </c>
      <c r="E1504" s="115"/>
      <c r="F1504" s="115"/>
      <c r="G1504" s="70">
        <f aca="true" t="shared" si="310" ref="G1504:R1509">G1505</f>
        <v>5000</v>
      </c>
      <c r="H1504" s="70">
        <f t="shared" si="310"/>
        <v>0</v>
      </c>
      <c r="I1504" s="70">
        <f t="shared" si="307"/>
        <v>5000</v>
      </c>
      <c r="J1504" s="70">
        <f t="shared" si="310"/>
        <v>0</v>
      </c>
      <c r="K1504" s="87">
        <f t="shared" si="302"/>
        <v>5000</v>
      </c>
      <c r="L1504" s="13">
        <f t="shared" si="310"/>
        <v>0</v>
      </c>
      <c r="M1504" s="87">
        <f t="shared" si="295"/>
        <v>5000</v>
      </c>
      <c r="N1504" s="13">
        <f t="shared" si="310"/>
        <v>3842.2</v>
      </c>
      <c r="O1504" s="87">
        <f t="shared" si="296"/>
        <v>8842.2</v>
      </c>
      <c r="P1504" s="13">
        <f t="shared" si="310"/>
        <v>0</v>
      </c>
      <c r="Q1504" s="87">
        <f t="shared" si="305"/>
        <v>8842.2</v>
      </c>
      <c r="R1504" s="13">
        <f t="shared" si="310"/>
        <v>0</v>
      </c>
      <c r="S1504" s="87">
        <f t="shared" si="301"/>
        <v>8842.2</v>
      </c>
    </row>
    <row r="1505" spans="1:19" ht="57.95" customHeight="1">
      <c r="A1505" s="62" t="str">
        <f ca="1">IF(ISERROR(MATCH(E1505,Код_КЦСР,0)),"",INDIRECT(ADDRESS(MATCH(E1505,Код_КЦСР,0)+1,2,,,"КЦСР")))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05" s="115">
        <v>811</v>
      </c>
      <c r="C1505" s="8" t="s">
        <v>229</v>
      </c>
      <c r="D1505" s="8" t="s">
        <v>223</v>
      </c>
      <c r="E1505" s="115" t="s">
        <v>70</v>
      </c>
      <c r="F1505" s="115"/>
      <c r="G1505" s="70">
        <f t="shared" si="310"/>
        <v>5000</v>
      </c>
      <c r="H1505" s="70">
        <f t="shared" si="310"/>
        <v>0</v>
      </c>
      <c r="I1505" s="70">
        <f t="shared" si="307"/>
        <v>5000</v>
      </c>
      <c r="J1505" s="70">
        <f t="shared" si="310"/>
        <v>0</v>
      </c>
      <c r="K1505" s="87">
        <f t="shared" si="302"/>
        <v>5000</v>
      </c>
      <c r="L1505" s="13">
        <f t="shared" si="310"/>
        <v>0</v>
      </c>
      <c r="M1505" s="87">
        <f t="shared" si="295"/>
        <v>5000</v>
      </c>
      <c r="N1505" s="13">
        <f t="shared" si="310"/>
        <v>3842.2</v>
      </c>
      <c r="O1505" s="87">
        <f t="shared" si="296"/>
        <v>8842.2</v>
      </c>
      <c r="P1505" s="13">
        <f t="shared" si="310"/>
        <v>0</v>
      </c>
      <c r="Q1505" s="87">
        <f t="shared" si="305"/>
        <v>8842.2</v>
      </c>
      <c r="R1505" s="13">
        <f t="shared" si="310"/>
        <v>0</v>
      </c>
      <c r="S1505" s="87">
        <f t="shared" si="301"/>
        <v>8842.2</v>
      </c>
    </row>
    <row r="1506" spans="1:19" ht="33">
      <c r="A1506" s="62" t="str">
        <f ca="1">IF(ISERROR(MATCH(E1506,Код_КЦСР,0)),"",INDIRECT(ADDRESS(MATCH(E1506,Код_КЦСР,0)+1,2,,,"КЦСР")))</f>
        <v>Капитальное строительство и реконструкция объектов муниципальной собственности</v>
      </c>
      <c r="B1506" s="115">
        <v>811</v>
      </c>
      <c r="C1506" s="8" t="s">
        <v>229</v>
      </c>
      <c r="D1506" s="8" t="s">
        <v>223</v>
      </c>
      <c r="E1506" s="115" t="s">
        <v>72</v>
      </c>
      <c r="F1506" s="115"/>
      <c r="G1506" s="70">
        <f t="shared" si="310"/>
        <v>5000</v>
      </c>
      <c r="H1506" s="70">
        <f t="shared" si="310"/>
        <v>0</v>
      </c>
      <c r="I1506" s="70">
        <f t="shared" si="307"/>
        <v>5000</v>
      </c>
      <c r="J1506" s="70">
        <f t="shared" si="310"/>
        <v>0</v>
      </c>
      <c r="K1506" s="87">
        <f t="shared" si="302"/>
        <v>5000</v>
      </c>
      <c r="L1506" s="13">
        <f t="shared" si="310"/>
        <v>0</v>
      </c>
      <c r="M1506" s="87">
        <f aca="true" t="shared" si="311" ref="M1506:M1590">K1506+L1506</f>
        <v>5000</v>
      </c>
      <c r="N1506" s="13">
        <f t="shared" si="310"/>
        <v>3842.2</v>
      </c>
      <c r="O1506" s="87">
        <f aca="true" t="shared" si="312" ref="O1506:O1590">M1506+N1506</f>
        <v>8842.2</v>
      </c>
      <c r="P1506" s="13">
        <f t="shared" si="310"/>
        <v>0</v>
      </c>
      <c r="Q1506" s="87">
        <f t="shared" si="305"/>
        <v>8842.2</v>
      </c>
      <c r="R1506" s="13">
        <f t="shared" si="310"/>
        <v>0</v>
      </c>
      <c r="S1506" s="87">
        <f t="shared" si="301"/>
        <v>8842.2</v>
      </c>
    </row>
    <row r="1507" spans="1:19" ht="12.75">
      <c r="A1507" s="62" t="str">
        <f ca="1">IF(ISERROR(MATCH(E1507,Код_КЦСР,0)),"",INDIRECT(ADDRESS(MATCH(E1507,Код_КЦСР,0)+1,2,,,"КЦСР")))</f>
        <v>Строительство объектов сметной стоимостью до 100 млн. рублей</v>
      </c>
      <c r="B1507" s="115">
        <v>811</v>
      </c>
      <c r="C1507" s="8" t="s">
        <v>229</v>
      </c>
      <c r="D1507" s="8" t="s">
        <v>223</v>
      </c>
      <c r="E1507" s="115" t="s">
        <v>73</v>
      </c>
      <c r="F1507" s="115"/>
      <c r="G1507" s="70">
        <f t="shared" si="310"/>
        <v>5000</v>
      </c>
      <c r="H1507" s="70">
        <f t="shared" si="310"/>
        <v>0</v>
      </c>
      <c r="I1507" s="70">
        <f t="shared" si="307"/>
        <v>5000</v>
      </c>
      <c r="J1507" s="70">
        <f t="shared" si="310"/>
        <v>0</v>
      </c>
      <c r="K1507" s="87">
        <f t="shared" si="302"/>
        <v>5000</v>
      </c>
      <c r="L1507" s="13">
        <f t="shared" si="310"/>
        <v>0</v>
      </c>
      <c r="M1507" s="87">
        <f t="shared" si="311"/>
        <v>5000</v>
      </c>
      <c r="N1507" s="13">
        <f t="shared" si="310"/>
        <v>3842.2</v>
      </c>
      <c r="O1507" s="87">
        <f t="shared" si="312"/>
        <v>8842.2</v>
      </c>
      <c r="P1507" s="13">
        <f t="shared" si="310"/>
        <v>0</v>
      </c>
      <c r="Q1507" s="87">
        <f t="shared" si="305"/>
        <v>8842.2</v>
      </c>
      <c r="R1507" s="13">
        <f t="shared" si="310"/>
        <v>0</v>
      </c>
      <c r="S1507" s="87">
        <f t="shared" si="301"/>
        <v>8842.2</v>
      </c>
    </row>
    <row r="1508" spans="1:19" ht="33">
      <c r="A1508" s="62" t="str">
        <f ca="1">IF(ISERROR(MATCH(F1508,Код_КВР,0)),"",INDIRECT(ADDRESS(MATCH(F1508,Код_КВР,0)+1,2,,,"КВР")))</f>
        <v>Капитальные вложения в объекты недвижимого имущества муниципальной собственности</v>
      </c>
      <c r="B1508" s="115">
        <v>811</v>
      </c>
      <c r="C1508" s="8" t="s">
        <v>229</v>
      </c>
      <c r="D1508" s="8" t="s">
        <v>223</v>
      </c>
      <c r="E1508" s="115" t="s">
        <v>73</v>
      </c>
      <c r="F1508" s="115">
        <v>400</v>
      </c>
      <c r="G1508" s="70">
        <f t="shared" si="310"/>
        <v>5000</v>
      </c>
      <c r="H1508" s="70">
        <f t="shared" si="310"/>
        <v>0</v>
      </c>
      <c r="I1508" s="70">
        <f t="shared" si="307"/>
        <v>5000</v>
      </c>
      <c r="J1508" s="70">
        <f t="shared" si="310"/>
        <v>0</v>
      </c>
      <c r="K1508" s="87">
        <f t="shared" si="302"/>
        <v>5000</v>
      </c>
      <c r="L1508" s="13">
        <f t="shared" si="310"/>
        <v>0</v>
      </c>
      <c r="M1508" s="87">
        <f t="shared" si="311"/>
        <v>5000</v>
      </c>
      <c r="N1508" s="13">
        <f t="shared" si="310"/>
        <v>3842.2</v>
      </c>
      <c r="O1508" s="87">
        <f t="shared" si="312"/>
        <v>8842.2</v>
      </c>
      <c r="P1508" s="13">
        <f t="shared" si="310"/>
        <v>0</v>
      </c>
      <c r="Q1508" s="87">
        <f t="shared" si="305"/>
        <v>8842.2</v>
      </c>
      <c r="R1508" s="13">
        <f t="shared" si="310"/>
        <v>0</v>
      </c>
      <c r="S1508" s="87">
        <f t="shared" si="301"/>
        <v>8842.2</v>
      </c>
    </row>
    <row r="1509" spans="1:19" ht="12.75">
      <c r="A1509" s="62" t="str">
        <f ca="1">IF(ISERROR(MATCH(F1509,Код_КВР,0)),"",INDIRECT(ADDRESS(MATCH(F1509,Код_КВР,0)+1,2,,,"КВР")))</f>
        <v>Бюджетные инвестиции</v>
      </c>
      <c r="B1509" s="115">
        <v>811</v>
      </c>
      <c r="C1509" s="8" t="s">
        <v>229</v>
      </c>
      <c r="D1509" s="8" t="s">
        <v>223</v>
      </c>
      <c r="E1509" s="115" t="s">
        <v>73</v>
      </c>
      <c r="F1509" s="115">
        <v>410</v>
      </c>
      <c r="G1509" s="70">
        <f t="shared" si="310"/>
        <v>5000</v>
      </c>
      <c r="H1509" s="70">
        <f t="shared" si="310"/>
        <v>0</v>
      </c>
      <c r="I1509" s="70">
        <f t="shared" si="307"/>
        <v>5000</v>
      </c>
      <c r="J1509" s="70">
        <f t="shared" si="310"/>
        <v>0</v>
      </c>
      <c r="K1509" s="87">
        <f t="shared" si="302"/>
        <v>5000</v>
      </c>
      <c r="L1509" s="13">
        <f t="shared" si="310"/>
        <v>0</v>
      </c>
      <c r="M1509" s="87">
        <f t="shared" si="311"/>
        <v>5000</v>
      </c>
      <c r="N1509" s="13">
        <f t="shared" si="310"/>
        <v>3842.2</v>
      </c>
      <c r="O1509" s="87">
        <f t="shared" si="312"/>
        <v>8842.2</v>
      </c>
      <c r="P1509" s="13">
        <f t="shared" si="310"/>
        <v>0</v>
      </c>
      <c r="Q1509" s="87">
        <f t="shared" si="305"/>
        <v>8842.2</v>
      </c>
      <c r="R1509" s="13">
        <f t="shared" si="310"/>
        <v>0</v>
      </c>
      <c r="S1509" s="87">
        <f t="shared" si="301"/>
        <v>8842.2</v>
      </c>
    </row>
    <row r="1510" spans="1:19" ht="33">
      <c r="A1510" s="62" t="str">
        <f ca="1">IF(ISERROR(MATCH(F1510,Код_КВР,0)),"",INDIRECT(ADDRESS(MATCH(F1510,Код_КВР,0)+1,2,,,"КВР")))</f>
        <v>Бюджетные инвестиции в объекты капитального строительства муниципальной собственности</v>
      </c>
      <c r="B1510" s="115">
        <v>811</v>
      </c>
      <c r="C1510" s="8" t="s">
        <v>229</v>
      </c>
      <c r="D1510" s="8" t="s">
        <v>223</v>
      </c>
      <c r="E1510" s="115" t="s">
        <v>73</v>
      </c>
      <c r="F1510" s="115">
        <v>414</v>
      </c>
      <c r="G1510" s="70">
        <v>5000</v>
      </c>
      <c r="H1510" s="70"/>
      <c r="I1510" s="70">
        <f t="shared" si="307"/>
        <v>5000</v>
      </c>
      <c r="J1510" s="70"/>
      <c r="K1510" s="87">
        <f t="shared" si="302"/>
        <v>5000</v>
      </c>
      <c r="L1510" s="13"/>
      <c r="M1510" s="87">
        <f t="shared" si="311"/>
        <v>5000</v>
      </c>
      <c r="N1510" s="13">
        <v>3842.2</v>
      </c>
      <c r="O1510" s="87">
        <f t="shared" si="312"/>
        <v>8842.2</v>
      </c>
      <c r="P1510" s="13"/>
      <c r="Q1510" s="87">
        <f t="shared" si="305"/>
        <v>8842.2</v>
      </c>
      <c r="R1510" s="13"/>
      <c r="S1510" s="87">
        <f t="shared" si="301"/>
        <v>8842.2</v>
      </c>
    </row>
    <row r="1511" spans="1:19" ht="12.75">
      <c r="A1511" s="62" t="str">
        <f ca="1">IF(ISERROR(MATCH(C1511,Код_Раздел,0)),"",INDIRECT(ADDRESS(MATCH(C1511,Код_Раздел,0)+1,2,,,"Раздел")))</f>
        <v>Образование</v>
      </c>
      <c r="B1511" s="115">
        <v>811</v>
      </c>
      <c r="C1511" s="8" t="s">
        <v>203</v>
      </c>
      <c r="D1511" s="8"/>
      <c r="E1511" s="115"/>
      <c r="F1511" s="115"/>
      <c r="G1511" s="70">
        <f>G1512+G1518+G1531</f>
        <v>122119.70000000001</v>
      </c>
      <c r="H1511" s="70">
        <f>H1512+H1518+H1531</f>
        <v>0</v>
      </c>
      <c r="I1511" s="70">
        <f t="shared" si="307"/>
        <v>122119.70000000001</v>
      </c>
      <c r="J1511" s="70">
        <f>J1512+J1518+J1531</f>
        <v>10964.4</v>
      </c>
      <c r="K1511" s="87">
        <f t="shared" si="302"/>
        <v>133084.1</v>
      </c>
      <c r="L1511" s="13">
        <f>L1512+L1518+L1531</f>
        <v>-5157</v>
      </c>
      <c r="M1511" s="87">
        <f t="shared" si="311"/>
        <v>127927.1</v>
      </c>
      <c r="N1511" s="13">
        <f>N1512+N1518+N1531</f>
        <v>0</v>
      </c>
      <c r="O1511" s="87">
        <f t="shared" si="312"/>
        <v>127927.1</v>
      </c>
      <c r="P1511" s="13">
        <f>P1512+P1518+P1531</f>
        <v>3959.5</v>
      </c>
      <c r="Q1511" s="87">
        <f t="shared" si="305"/>
        <v>131886.6</v>
      </c>
      <c r="R1511" s="13">
        <f>R1512+R1518+R1531</f>
        <v>269852.9</v>
      </c>
      <c r="S1511" s="87">
        <f t="shared" si="301"/>
        <v>401739.5</v>
      </c>
    </row>
    <row r="1512" spans="1:19" ht="12.75">
      <c r="A1512" s="12" t="s">
        <v>258</v>
      </c>
      <c r="B1512" s="115">
        <v>811</v>
      </c>
      <c r="C1512" s="8" t="s">
        <v>203</v>
      </c>
      <c r="D1512" s="8" t="s">
        <v>222</v>
      </c>
      <c r="E1512" s="115"/>
      <c r="F1512" s="115"/>
      <c r="G1512" s="70">
        <f aca="true" t="shared" si="313" ref="G1512:R1516">G1513</f>
        <v>31933.8</v>
      </c>
      <c r="H1512" s="70">
        <f t="shared" si="313"/>
        <v>0</v>
      </c>
      <c r="I1512" s="70">
        <f t="shared" si="307"/>
        <v>31933.8</v>
      </c>
      <c r="J1512" s="70">
        <f t="shared" si="313"/>
        <v>0</v>
      </c>
      <c r="K1512" s="87">
        <f t="shared" si="302"/>
        <v>31933.8</v>
      </c>
      <c r="L1512" s="13">
        <f t="shared" si="313"/>
        <v>0</v>
      </c>
      <c r="M1512" s="87">
        <f t="shared" si="311"/>
        <v>31933.8</v>
      </c>
      <c r="N1512" s="13">
        <f t="shared" si="313"/>
        <v>0</v>
      </c>
      <c r="O1512" s="87">
        <f t="shared" si="312"/>
        <v>31933.8</v>
      </c>
      <c r="P1512" s="13">
        <f t="shared" si="313"/>
        <v>0</v>
      </c>
      <c r="Q1512" s="87">
        <f t="shared" si="305"/>
        <v>31933.8</v>
      </c>
      <c r="R1512" s="13">
        <f t="shared" si="313"/>
        <v>-2893.5</v>
      </c>
      <c r="S1512" s="87">
        <f t="shared" si="301"/>
        <v>29040.3</v>
      </c>
    </row>
    <row r="1513" spans="1:19" ht="49.5">
      <c r="A1513" s="62" t="str">
        <f ca="1">IF(ISERROR(MATCH(E1513,Код_КЦСР,0)),"",INDIRECT(ADDRESS(MATCH(E1513,Код_КЦСР,0)+1,2,,,"КЦСР")))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13" s="115">
        <v>811</v>
      </c>
      <c r="C1513" s="8" t="s">
        <v>203</v>
      </c>
      <c r="D1513" s="8" t="s">
        <v>222</v>
      </c>
      <c r="E1513" s="115" t="s">
        <v>70</v>
      </c>
      <c r="F1513" s="115"/>
      <c r="G1513" s="70">
        <f t="shared" si="313"/>
        <v>31933.8</v>
      </c>
      <c r="H1513" s="70">
        <f t="shared" si="313"/>
        <v>0</v>
      </c>
      <c r="I1513" s="70">
        <f t="shared" si="307"/>
        <v>31933.8</v>
      </c>
      <c r="J1513" s="70">
        <f t="shared" si="313"/>
        <v>0</v>
      </c>
      <c r="K1513" s="87">
        <f t="shared" si="302"/>
        <v>31933.8</v>
      </c>
      <c r="L1513" s="13">
        <f t="shared" si="313"/>
        <v>0</v>
      </c>
      <c r="M1513" s="87">
        <f t="shared" si="311"/>
        <v>31933.8</v>
      </c>
      <c r="N1513" s="13">
        <f t="shared" si="313"/>
        <v>0</v>
      </c>
      <c r="O1513" s="87">
        <f t="shared" si="312"/>
        <v>31933.8</v>
      </c>
      <c r="P1513" s="13">
        <f t="shared" si="313"/>
        <v>0</v>
      </c>
      <c r="Q1513" s="87">
        <f t="shared" si="305"/>
        <v>31933.8</v>
      </c>
      <c r="R1513" s="13">
        <f t="shared" si="313"/>
        <v>-2893.5</v>
      </c>
      <c r="S1513" s="87">
        <f t="shared" si="301"/>
        <v>29040.3</v>
      </c>
    </row>
    <row r="1514" spans="1:19" ht="12.75">
      <c r="A1514" s="62" t="str">
        <f ca="1">IF(ISERROR(MATCH(E1514,Код_КЦСР,0)),"",INDIRECT(ADDRESS(MATCH(E1514,Код_КЦСР,0)+1,2,,,"КЦСР")))</f>
        <v>Капитальный ремонт  объектов муниципальной собственности</v>
      </c>
      <c r="B1514" s="115">
        <v>811</v>
      </c>
      <c r="C1514" s="8" t="s">
        <v>203</v>
      </c>
      <c r="D1514" s="8" t="s">
        <v>222</v>
      </c>
      <c r="E1514" s="115" t="s">
        <v>78</v>
      </c>
      <c r="F1514" s="115"/>
      <c r="G1514" s="70">
        <f t="shared" si="313"/>
        <v>31933.8</v>
      </c>
      <c r="H1514" s="70">
        <f t="shared" si="313"/>
        <v>0</v>
      </c>
      <c r="I1514" s="70">
        <f t="shared" si="307"/>
        <v>31933.8</v>
      </c>
      <c r="J1514" s="70">
        <f t="shared" si="313"/>
        <v>0</v>
      </c>
      <c r="K1514" s="87">
        <f t="shared" si="302"/>
        <v>31933.8</v>
      </c>
      <c r="L1514" s="13">
        <f t="shared" si="313"/>
        <v>0</v>
      </c>
      <c r="M1514" s="87">
        <f t="shared" si="311"/>
        <v>31933.8</v>
      </c>
      <c r="N1514" s="13">
        <f t="shared" si="313"/>
        <v>0</v>
      </c>
      <c r="O1514" s="87">
        <f t="shared" si="312"/>
        <v>31933.8</v>
      </c>
      <c r="P1514" s="13">
        <f t="shared" si="313"/>
        <v>0</v>
      </c>
      <c r="Q1514" s="87">
        <f t="shared" si="305"/>
        <v>31933.8</v>
      </c>
      <c r="R1514" s="13">
        <f t="shared" si="313"/>
        <v>-2893.5</v>
      </c>
      <c r="S1514" s="87">
        <f t="shared" si="301"/>
        <v>29040.3</v>
      </c>
    </row>
    <row r="1515" spans="1:19" ht="12.75">
      <c r="A1515" s="62" t="str">
        <f ca="1">IF(ISERROR(MATCH(F1515,Код_КВР,0)),"",INDIRECT(ADDRESS(MATCH(F1515,Код_КВР,0)+1,2,,,"КВР")))</f>
        <v>Закупка товаров, работ и услуг для муниципальных нужд</v>
      </c>
      <c r="B1515" s="115">
        <v>811</v>
      </c>
      <c r="C1515" s="8" t="s">
        <v>203</v>
      </c>
      <c r="D1515" s="8" t="s">
        <v>222</v>
      </c>
      <c r="E1515" s="115" t="s">
        <v>78</v>
      </c>
      <c r="F1515" s="115">
        <v>200</v>
      </c>
      <c r="G1515" s="70">
        <f t="shared" si="313"/>
        <v>31933.8</v>
      </c>
      <c r="H1515" s="70">
        <f t="shared" si="313"/>
        <v>0</v>
      </c>
      <c r="I1515" s="70">
        <f t="shared" si="307"/>
        <v>31933.8</v>
      </c>
      <c r="J1515" s="70">
        <f t="shared" si="313"/>
        <v>0</v>
      </c>
      <c r="K1515" s="87">
        <f t="shared" si="302"/>
        <v>31933.8</v>
      </c>
      <c r="L1515" s="13">
        <f t="shared" si="313"/>
        <v>0</v>
      </c>
      <c r="M1515" s="87">
        <f t="shared" si="311"/>
        <v>31933.8</v>
      </c>
      <c r="N1515" s="13">
        <f t="shared" si="313"/>
        <v>0</v>
      </c>
      <c r="O1515" s="87">
        <f t="shared" si="312"/>
        <v>31933.8</v>
      </c>
      <c r="P1515" s="13">
        <f t="shared" si="313"/>
        <v>0</v>
      </c>
      <c r="Q1515" s="87">
        <f t="shared" si="305"/>
        <v>31933.8</v>
      </c>
      <c r="R1515" s="13">
        <f t="shared" si="313"/>
        <v>-2893.5</v>
      </c>
      <c r="S1515" s="87">
        <f t="shared" si="301"/>
        <v>29040.3</v>
      </c>
    </row>
    <row r="1516" spans="1:19" ht="33">
      <c r="A1516" s="62" t="str">
        <f ca="1">IF(ISERROR(MATCH(F1516,Код_КВР,0)),"",INDIRECT(ADDRESS(MATCH(F1516,Код_КВР,0)+1,2,,,"КВР")))</f>
        <v>Иные закупки товаров, работ и услуг для обеспечения муниципальных нужд</v>
      </c>
      <c r="B1516" s="115">
        <v>811</v>
      </c>
      <c r="C1516" s="8" t="s">
        <v>203</v>
      </c>
      <c r="D1516" s="8" t="s">
        <v>222</v>
      </c>
      <c r="E1516" s="115" t="s">
        <v>78</v>
      </c>
      <c r="F1516" s="115">
        <v>240</v>
      </c>
      <c r="G1516" s="70">
        <f t="shared" si="313"/>
        <v>31933.8</v>
      </c>
      <c r="H1516" s="70">
        <f t="shared" si="313"/>
        <v>0</v>
      </c>
      <c r="I1516" s="70">
        <f t="shared" si="307"/>
        <v>31933.8</v>
      </c>
      <c r="J1516" s="70">
        <f t="shared" si="313"/>
        <v>0</v>
      </c>
      <c r="K1516" s="87">
        <f t="shared" si="302"/>
        <v>31933.8</v>
      </c>
      <c r="L1516" s="13">
        <f t="shared" si="313"/>
        <v>0</v>
      </c>
      <c r="M1516" s="87">
        <f t="shared" si="311"/>
        <v>31933.8</v>
      </c>
      <c r="N1516" s="13">
        <f t="shared" si="313"/>
        <v>0</v>
      </c>
      <c r="O1516" s="87">
        <f t="shared" si="312"/>
        <v>31933.8</v>
      </c>
      <c r="P1516" s="13">
        <f t="shared" si="313"/>
        <v>0</v>
      </c>
      <c r="Q1516" s="87">
        <f t="shared" si="305"/>
        <v>31933.8</v>
      </c>
      <c r="R1516" s="13">
        <f t="shared" si="313"/>
        <v>-2893.5</v>
      </c>
      <c r="S1516" s="87">
        <f t="shared" si="301"/>
        <v>29040.3</v>
      </c>
    </row>
    <row r="1517" spans="1:19" ht="33">
      <c r="A1517" s="62" t="str">
        <f ca="1">IF(ISERROR(MATCH(F1517,Код_КВР,0)),"",INDIRECT(ADDRESS(MATCH(F1517,Код_КВР,0)+1,2,,,"КВР")))</f>
        <v>Закупка товаров, работ, услуг в целях капитального ремонта муниципального имущества</v>
      </c>
      <c r="B1517" s="115">
        <v>811</v>
      </c>
      <c r="C1517" s="8" t="s">
        <v>203</v>
      </c>
      <c r="D1517" s="8" t="s">
        <v>222</v>
      </c>
      <c r="E1517" s="115" t="s">
        <v>78</v>
      </c>
      <c r="F1517" s="115">
        <v>243</v>
      </c>
      <c r="G1517" s="70">
        <v>31933.8</v>
      </c>
      <c r="H1517" s="70"/>
      <c r="I1517" s="70">
        <f t="shared" si="307"/>
        <v>31933.8</v>
      </c>
      <c r="J1517" s="70"/>
      <c r="K1517" s="87">
        <f t="shared" si="302"/>
        <v>31933.8</v>
      </c>
      <c r="L1517" s="13"/>
      <c r="M1517" s="87">
        <f t="shared" si="311"/>
        <v>31933.8</v>
      </c>
      <c r="N1517" s="13"/>
      <c r="O1517" s="87">
        <f t="shared" si="312"/>
        <v>31933.8</v>
      </c>
      <c r="P1517" s="13"/>
      <c r="Q1517" s="87">
        <f t="shared" si="305"/>
        <v>31933.8</v>
      </c>
      <c r="R1517" s="13">
        <v>-2893.5</v>
      </c>
      <c r="S1517" s="87">
        <f t="shared" si="301"/>
        <v>29040.3</v>
      </c>
    </row>
    <row r="1518" spans="1:19" ht="12.75">
      <c r="A1518" s="12" t="s">
        <v>207</v>
      </c>
      <c r="B1518" s="115">
        <v>811</v>
      </c>
      <c r="C1518" s="8" t="s">
        <v>203</v>
      </c>
      <c r="D1518" s="8" t="s">
        <v>203</v>
      </c>
      <c r="E1518" s="115"/>
      <c r="F1518" s="115"/>
      <c r="G1518" s="70">
        <f>G1519</f>
        <v>5655.8</v>
      </c>
      <c r="H1518" s="70">
        <f>H1519</f>
        <v>0</v>
      </c>
      <c r="I1518" s="70">
        <f t="shared" si="307"/>
        <v>5655.8</v>
      </c>
      <c r="J1518" s="70">
        <f>J1519</f>
        <v>0</v>
      </c>
      <c r="K1518" s="87">
        <f t="shared" si="302"/>
        <v>5655.8</v>
      </c>
      <c r="L1518" s="13">
        <f>L1519</f>
        <v>0</v>
      </c>
      <c r="M1518" s="87">
        <f t="shared" si="311"/>
        <v>5655.8</v>
      </c>
      <c r="N1518" s="13">
        <f>N1519</f>
        <v>0</v>
      </c>
      <c r="O1518" s="87">
        <f t="shared" si="312"/>
        <v>5655.8</v>
      </c>
      <c r="P1518" s="13">
        <f>P1519</f>
        <v>0</v>
      </c>
      <c r="Q1518" s="87">
        <f t="shared" si="305"/>
        <v>5655.8</v>
      </c>
      <c r="R1518" s="13">
        <f>R1519</f>
        <v>0</v>
      </c>
      <c r="S1518" s="87">
        <f t="shared" si="301"/>
        <v>5655.8</v>
      </c>
    </row>
    <row r="1519" spans="1:19" ht="33">
      <c r="A1519" s="62" t="str">
        <f ca="1">IF(ISERROR(MATCH(E1519,Код_КЦСР,0)),"",INDIRECT(ADDRESS(MATCH(E1519,Код_КЦСР,0)+1,2,,,"КЦСР")))</f>
        <v>Муниципальная программа «Социальная поддержка граждан» на 2014-2018 годы</v>
      </c>
      <c r="B1519" s="115">
        <v>811</v>
      </c>
      <c r="C1519" s="8" t="s">
        <v>203</v>
      </c>
      <c r="D1519" s="8" t="s">
        <v>203</v>
      </c>
      <c r="E1519" s="115" t="s">
        <v>6</v>
      </c>
      <c r="F1519" s="115"/>
      <c r="G1519" s="70">
        <f>G1520+G1524</f>
        <v>5655.8</v>
      </c>
      <c r="H1519" s="70">
        <f>H1520+H1524</f>
        <v>0</v>
      </c>
      <c r="I1519" s="70">
        <f t="shared" si="307"/>
        <v>5655.8</v>
      </c>
      <c r="J1519" s="70">
        <f>J1520+J1524</f>
        <v>0</v>
      </c>
      <c r="K1519" s="87">
        <f t="shared" si="302"/>
        <v>5655.8</v>
      </c>
      <c r="L1519" s="13">
        <f>L1520+L1524</f>
        <v>0</v>
      </c>
      <c r="M1519" s="87">
        <f t="shared" si="311"/>
        <v>5655.8</v>
      </c>
      <c r="N1519" s="13">
        <f>N1520+N1524</f>
        <v>0</v>
      </c>
      <c r="O1519" s="87">
        <f t="shared" si="312"/>
        <v>5655.8</v>
      </c>
      <c r="P1519" s="13">
        <f>P1520+P1524</f>
        <v>0</v>
      </c>
      <c r="Q1519" s="87">
        <f t="shared" si="305"/>
        <v>5655.8</v>
      </c>
      <c r="R1519" s="13">
        <f>R1520+R1524</f>
        <v>0</v>
      </c>
      <c r="S1519" s="87">
        <f aca="true" t="shared" si="314" ref="S1519:S1596">Q1519+R1519</f>
        <v>5655.8</v>
      </c>
    </row>
    <row r="1520" spans="1:19" ht="66">
      <c r="A1520" s="62" t="str">
        <f ca="1">IF(ISERROR(MATCH(E1520,Код_КЦСР,0)),"",INDIRECT(ADDRESS(MATCH(E1520,Код_КЦСР,0)+1,2,,,"КЦСР")))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520" s="115">
        <v>811</v>
      </c>
      <c r="C1520" s="8" t="s">
        <v>203</v>
      </c>
      <c r="D1520" s="8" t="s">
        <v>203</v>
      </c>
      <c r="E1520" s="115" t="s">
        <v>9</v>
      </c>
      <c r="F1520" s="115"/>
      <c r="G1520" s="70">
        <f aca="true" t="shared" si="315" ref="G1520:R1522">G1521</f>
        <v>113.2</v>
      </c>
      <c r="H1520" s="70">
        <f t="shared" si="315"/>
        <v>0</v>
      </c>
      <c r="I1520" s="70">
        <f t="shared" si="307"/>
        <v>113.2</v>
      </c>
      <c r="J1520" s="70">
        <f t="shared" si="315"/>
        <v>0</v>
      </c>
      <c r="K1520" s="87">
        <f t="shared" si="302"/>
        <v>113.2</v>
      </c>
      <c r="L1520" s="13">
        <f t="shared" si="315"/>
        <v>0</v>
      </c>
      <c r="M1520" s="87">
        <f t="shared" si="311"/>
        <v>113.2</v>
      </c>
      <c r="N1520" s="13">
        <f t="shared" si="315"/>
        <v>0</v>
      </c>
      <c r="O1520" s="87">
        <f t="shared" si="312"/>
        <v>113.2</v>
      </c>
      <c r="P1520" s="13">
        <f t="shared" si="315"/>
        <v>0</v>
      </c>
      <c r="Q1520" s="87">
        <f t="shared" si="305"/>
        <v>113.2</v>
      </c>
      <c r="R1520" s="13">
        <f t="shared" si="315"/>
        <v>0</v>
      </c>
      <c r="S1520" s="87">
        <f t="shared" si="314"/>
        <v>113.2</v>
      </c>
    </row>
    <row r="1521" spans="1:19" ht="33">
      <c r="A1521" s="62" t="str">
        <f ca="1">IF(ISERROR(MATCH(F1521,Код_КВР,0)),"",INDIRECT(ADDRESS(MATCH(F1521,Код_КВР,0)+1,2,,,"КВР")))</f>
        <v>Капитальные вложения в объекты недвижимого имущества муниципальной собственности</v>
      </c>
      <c r="B1521" s="115">
        <v>811</v>
      </c>
      <c r="C1521" s="8" t="s">
        <v>203</v>
      </c>
      <c r="D1521" s="8" t="s">
        <v>203</v>
      </c>
      <c r="E1521" s="115" t="s">
        <v>9</v>
      </c>
      <c r="F1521" s="115">
        <v>400</v>
      </c>
      <c r="G1521" s="70">
        <f t="shared" si="315"/>
        <v>113.2</v>
      </c>
      <c r="H1521" s="70">
        <f t="shared" si="315"/>
        <v>0</v>
      </c>
      <c r="I1521" s="70">
        <f t="shared" si="307"/>
        <v>113.2</v>
      </c>
      <c r="J1521" s="70">
        <f t="shared" si="315"/>
        <v>0</v>
      </c>
      <c r="K1521" s="87">
        <f t="shared" si="302"/>
        <v>113.2</v>
      </c>
      <c r="L1521" s="13">
        <f t="shared" si="315"/>
        <v>0</v>
      </c>
      <c r="M1521" s="87">
        <f t="shared" si="311"/>
        <v>113.2</v>
      </c>
      <c r="N1521" s="13">
        <f t="shared" si="315"/>
        <v>0</v>
      </c>
      <c r="O1521" s="87">
        <f t="shared" si="312"/>
        <v>113.2</v>
      </c>
      <c r="P1521" s="13">
        <f t="shared" si="315"/>
        <v>0</v>
      </c>
      <c r="Q1521" s="87">
        <f t="shared" si="305"/>
        <v>113.2</v>
      </c>
      <c r="R1521" s="13">
        <f t="shared" si="315"/>
        <v>0</v>
      </c>
      <c r="S1521" s="87">
        <f t="shared" si="314"/>
        <v>113.2</v>
      </c>
    </row>
    <row r="1522" spans="1:19" ht="12.75">
      <c r="A1522" s="62" t="str">
        <f ca="1">IF(ISERROR(MATCH(F1522,Код_КВР,0)),"",INDIRECT(ADDRESS(MATCH(F1522,Код_КВР,0)+1,2,,,"КВР")))</f>
        <v>Бюджетные инвестиции</v>
      </c>
      <c r="B1522" s="115">
        <v>811</v>
      </c>
      <c r="C1522" s="8" t="s">
        <v>203</v>
      </c>
      <c r="D1522" s="8" t="s">
        <v>203</v>
      </c>
      <c r="E1522" s="115" t="s">
        <v>9</v>
      </c>
      <c r="F1522" s="115">
        <v>410</v>
      </c>
      <c r="G1522" s="70">
        <f t="shared" si="315"/>
        <v>113.2</v>
      </c>
      <c r="H1522" s="70">
        <f t="shared" si="315"/>
        <v>0</v>
      </c>
      <c r="I1522" s="70">
        <f t="shared" si="307"/>
        <v>113.2</v>
      </c>
      <c r="J1522" s="70">
        <f t="shared" si="315"/>
        <v>0</v>
      </c>
      <c r="K1522" s="87">
        <f t="shared" si="302"/>
        <v>113.2</v>
      </c>
      <c r="L1522" s="13">
        <f t="shared" si="315"/>
        <v>0</v>
      </c>
      <c r="M1522" s="87">
        <f t="shared" si="311"/>
        <v>113.2</v>
      </c>
      <c r="N1522" s="13">
        <f t="shared" si="315"/>
        <v>0</v>
      </c>
      <c r="O1522" s="87">
        <f t="shared" si="312"/>
        <v>113.2</v>
      </c>
      <c r="P1522" s="13">
        <f t="shared" si="315"/>
        <v>0</v>
      </c>
      <c r="Q1522" s="87">
        <f t="shared" si="305"/>
        <v>113.2</v>
      </c>
      <c r="R1522" s="13">
        <f t="shared" si="315"/>
        <v>0</v>
      </c>
      <c r="S1522" s="87">
        <f t="shared" si="314"/>
        <v>113.2</v>
      </c>
    </row>
    <row r="1523" spans="1:19" ht="33">
      <c r="A1523" s="62" t="str">
        <f ca="1">IF(ISERROR(MATCH(F1523,Код_КВР,0)),"",INDIRECT(ADDRESS(MATCH(F1523,Код_КВР,0)+1,2,,,"КВР")))</f>
        <v>Бюджетные инвестиции в объекты капитального строительства муниципальной собственности</v>
      </c>
      <c r="B1523" s="115">
        <v>811</v>
      </c>
      <c r="C1523" s="8" t="s">
        <v>203</v>
      </c>
      <c r="D1523" s="8" t="s">
        <v>203</v>
      </c>
      <c r="E1523" s="115" t="s">
        <v>9</v>
      </c>
      <c r="F1523" s="115">
        <v>414</v>
      </c>
      <c r="G1523" s="70">
        <v>113.2</v>
      </c>
      <c r="H1523" s="70"/>
      <c r="I1523" s="70">
        <f t="shared" si="307"/>
        <v>113.2</v>
      </c>
      <c r="J1523" s="70"/>
      <c r="K1523" s="87">
        <f t="shared" si="302"/>
        <v>113.2</v>
      </c>
      <c r="L1523" s="13"/>
      <c r="M1523" s="87">
        <f t="shared" si="311"/>
        <v>113.2</v>
      </c>
      <c r="N1523" s="13"/>
      <c r="O1523" s="87">
        <f t="shared" si="312"/>
        <v>113.2</v>
      </c>
      <c r="P1523" s="13"/>
      <c r="Q1523" s="87">
        <f t="shared" si="305"/>
        <v>113.2</v>
      </c>
      <c r="R1523" s="13"/>
      <c r="S1523" s="87">
        <f t="shared" si="314"/>
        <v>113.2</v>
      </c>
    </row>
    <row r="1524" spans="1:19" ht="66">
      <c r="A1524" s="62" t="str">
        <f ca="1">IF(ISERROR(MATCH(E1524,Код_КЦСР,0)),"",INDIRECT(ADDRESS(MATCH(E1524,Код_КЦСР,0)+1,2,,,"КЦСР")))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524" s="115">
        <v>811</v>
      </c>
      <c r="C1524" s="8" t="s">
        <v>203</v>
      </c>
      <c r="D1524" s="8" t="s">
        <v>203</v>
      </c>
      <c r="E1524" s="115" t="s">
        <v>417</v>
      </c>
      <c r="F1524" s="115"/>
      <c r="G1524" s="70">
        <f>G1525+G1528</f>
        <v>5542.6</v>
      </c>
      <c r="H1524" s="70">
        <f>H1525+H1528</f>
        <v>0</v>
      </c>
      <c r="I1524" s="70">
        <f t="shared" si="307"/>
        <v>5542.6</v>
      </c>
      <c r="J1524" s="70">
        <f>J1525+J1528</f>
        <v>0</v>
      </c>
      <c r="K1524" s="87">
        <f t="shared" si="302"/>
        <v>5542.6</v>
      </c>
      <c r="L1524" s="13">
        <f>L1525+L1528</f>
        <v>0</v>
      </c>
      <c r="M1524" s="87">
        <f t="shared" si="311"/>
        <v>5542.6</v>
      </c>
      <c r="N1524" s="13">
        <f>N1525+N1528</f>
        <v>0</v>
      </c>
      <c r="O1524" s="87">
        <f t="shared" si="312"/>
        <v>5542.6</v>
      </c>
      <c r="P1524" s="13">
        <f>P1525+P1528</f>
        <v>0</v>
      </c>
      <c r="Q1524" s="87">
        <f t="shared" si="305"/>
        <v>5542.6</v>
      </c>
      <c r="R1524" s="13">
        <f>R1525+R1528</f>
        <v>0</v>
      </c>
      <c r="S1524" s="87">
        <f t="shared" si="314"/>
        <v>5542.6</v>
      </c>
    </row>
    <row r="1525" spans="1:19" ht="12.75">
      <c r="A1525" s="62" t="str">
        <f aca="true" t="shared" si="316" ref="A1525:A1530">IF(ISERROR(MATCH(F1525,Код_КВР,0)),"",INDIRECT(ADDRESS(MATCH(F1525,Код_КВР,0)+1,2,,,"КВР")))</f>
        <v>Закупка товаров, работ и услуг для муниципальных нужд</v>
      </c>
      <c r="B1525" s="115">
        <v>811</v>
      </c>
      <c r="C1525" s="8" t="s">
        <v>203</v>
      </c>
      <c r="D1525" s="8" t="s">
        <v>203</v>
      </c>
      <c r="E1525" s="115" t="s">
        <v>417</v>
      </c>
      <c r="F1525" s="115">
        <v>200</v>
      </c>
      <c r="G1525" s="70">
        <f>G1526</f>
        <v>800</v>
      </c>
      <c r="H1525" s="70">
        <f>H1526</f>
        <v>0</v>
      </c>
      <c r="I1525" s="70">
        <f t="shared" si="307"/>
        <v>800</v>
      </c>
      <c r="J1525" s="70">
        <f>J1526</f>
        <v>0</v>
      </c>
      <c r="K1525" s="87">
        <f t="shared" si="302"/>
        <v>800</v>
      </c>
      <c r="L1525" s="13">
        <f>L1526</f>
        <v>0</v>
      </c>
      <c r="M1525" s="87">
        <f t="shared" si="311"/>
        <v>800</v>
      </c>
      <c r="N1525" s="13">
        <f>N1526</f>
        <v>0</v>
      </c>
      <c r="O1525" s="87">
        <f t="shared" si="312"/>
        <v>800</v>
      </c>
      <c r="P1525" s="13">
        <f>P1526</f>
        <v>0</v>
      </c>
      <c r="Q1525" s="87">
        <f t="shared" si="305"/>
        <v>800</v>
      </c>
      <c r="R1525" s="13">
        <f>R1526</f>
        <v>0</v>
      </c>
      <c r="S1525" s="87">
        <f t="shared" si="314"/>
        <v>800</v>
      </c>
    </row>
    <row r="1526" spans="1:19" ht="33">
      <c r="A1526" s="62" t="str">
        <f ca="1" t="shared" si="316"/>
        <v>Иные закупки товаров, работ и услуг для обеспечения муниципальных нужд</v>
      </c>
      <c r="B1526" s="115">
        <v>811</v>
      </c>
      <c r="C1526" s="8" t="s">
        <v>203</v>
      </c>
      <c r="D1526" s="8" t="s">
        <v>203</v>
      </c>
      <c r="E1526" s="115" t="s">
        <v>417</v>
      </c>
      <c r="F1526" s="115">
        <v>240</v>
      </c>
      <c r="G1526" s="70">
        <f>G1527</f>
        <v>800</v>
      </c>
      <c r="H1526" s="70">
        <f>H1527</f>
        <v>0</v>
      </c>
      <c r="I1526" s="70">
        <f t="shared" si="307"/>
        <v>800</v>
      </c>
      <c r="J1526" s="70">
        <f>J1527</f>
        <v>0</v>
      </c>
      <c r="K1526" s="87">
        <f t="shared" si="302"/>
        <v>800</v>
      </c>
      <c r="L1526" s="13">
        <f>L1527</f>
        <v>0</v>
      </c>
      <c r="M1526" s="87">
        <f t="shared" si="311"/>
        <v>800</v>
      </c>
      <c r="N1526" s="13">
        <f>N1527</f>
        <v>0</v>
      </c>
      <c r="O1526" s="87">
        <f t="shared" si="312"/>
        <v>800</v>
      </c>
      <c r="P1526" s="13">
        <f>P1527</f>
        <v>0</v>
      </c>
      <c r="Q1526" s="87">
        <f t="shared" si="305"/>
        <v>800</v>
      </c>
      <c r="R1526" s="13">
        <f>R1527</f>
        <v>0</v>
      </c>
      <c r="S1526" s="87">
        <f t="shared" si="314"/>
        <v>800</v>
      </c>
    </row>
    <row r="1527" spans="1:19" ht="33">
      <c r="A1527" s="62" t="str">
        <f ca="1" t="shared" si="316"/>
        <v>Закупка товаров, работ, услуг в целях капитального ремонта муниципального имущества</v>
      </c>
      <c r="B1527" s="115">
        <v>811</v>
      </c>
      <c r="C1527" s="8" t="s">
        <v>203</v>
      </c>
      <c r="D1527" s="8" t="s">
        <v>203</v>
      </c>
      <c r="E1527" s="115" t="s">
        <v>417</v>
      </c>
      <c r="F1527" s="115">
        <v>243</v>
      </c>
      <c r="G1527" s="70">
        <v>800</v>
      </c>
      <c r="H1527" s="70"/>
      <c r="I1527" s="70">
        <f t="shared" si="307"/>
        <v>800</v>
      </c>
      <c r="J1527" s="70"/>
      <c r="K1527" s="87">
        <f t="shared" si="302"/>
        <v>800</v>
      </c>
      <c r="L1527" s="13"/>
      <c r="M1527" s="87">
        <f t="shared" si="311"/>
        <v>800</v>
      </c>
      <c r="N1527" s="13"/>
      <c r="O1527" s="87">
        <f t="shared" si="312"/>
        <v>800</v>
      </c>
      <c r="P1527" s="13"/>
      <c r="Q1527" s="87">
        <f t="shared" si="305"/>
        <v>800</v>
      </c>
      <c r="R1527" s="13"/>
      <c r="S1527" s="87">
        <f t="shared" si="314"/>
        <v>800</v>
      </c>
    </row>
    <row r="1528" spans="1:19" ht="33">
      <c r="A1528" s="62" t="str">
        <f ca="1" t="shared" si="316"/>
        <v>Капитальные вложения в объекты недвижимого имущества муниципальной собственности</v>
      </c>
      <c r="B1528" s="115">
        <v>811</v>
      </c>
      <c r="C1528" s="8" t="s">
        <v>203</v>
      </c>
      <c r="D1528" s="8" t="s">
        <v>203</v>
      </c>
      <c r="E1528" s="115" t="s">
        <v>417</v>
      </c>
      <c r="F1528" s="115">
        <v>400</v>
      </c>
      <c r="G1528" s="70">
        <f>G1529</f>
        <v>4742.6</v>
      </c>
      <c r="H1528" s="70">
        <f>H1529</f>
        <v>0</v>
      </c>
      <c r="I1528" s="70">
        <f t="shared" si="307"/>
        <v>4742.6</v>
      </c>
      <c r="J1528" s="70">
        <f>J1529</f>
        <v>0</v>
      </c>
      <c r="K1528" s="87">
        <f aca="true" t="shared" si="317" ref="K1528:K1603">I1528+J1528</f>
        <v>4742.6</v>
      </c>
      <c r="L1528" s="13">
        <f>L1529</f>
        <v>0</v>
      </c>
      <c r="M1528" s="87">
        <f t="shared" si="311"/>
        <v>4742.6</v>
      </c>
      <c r="N1528" s="13">
        <f>N1529</f>
        <v>0</v>
      </c>
      <c r="O1528" s="87">
        <f t="shared" si="312"/>
        <v>4742.6</v>
      </c>
      <c r="P1528" s="13">
        <f>P1529</f>
        <v>0</v>
      </c>
      <c r="Q1528" s="87">
        <f aca="true" t="shared" si="318" ref="Q1528:Q1605">O1528+P1528</f>
        <v>4742.6</v>
      </c>
      <c r="R1528" s="13">
        <f>R1529</f>
        <v>0</v>
      </c>
      <c r="S1528" s="87">
        <f t="shared" si="314"/>
        <v>4742.6</v>
      </c>
    </row>
    <row r="1529" spans="1:19" ht="12.75">
      <c r="A1529" s="62" t="str">
        <f ca="1" t="shared" si="316"/>
        <v>Бюджетные инвестиции</v>
      </c>
      <c r="B1529" s="115">
        <v>811</v>
      </c>
      <c r="C1529" s="8" t="s">
        <v>203</v>
      </c>
      <c r="D1529" s="8" t="s">
        <v>203</v>
      </c>
      <c r="E1529" s="115" t="s">
        <v>417</v>
      </c>
      <c r="F1529" s="115">
        <v>410</v>
      </c>
      <c r="G1529" s="70">
        <f>G1530</f>
        <v>4742.6</v>
      </c>
      <c r="H1529" s="70">
        <f>H1530</f>
        <v>0</v>
      </c>
      <c r="I1529" s="70">
        <f t="shared" si="307"/>
        <v>4742.6</v>
      </c>
      <c r="J1529" s="70">
        <f>J1530</f>
        <v>0</v>
      </c>
      <c r="K1529" s="87">
        <f t="shared" si="317"/>
        <v>4742.6</v>
      </c>
      <c r="L1529" s="13">
        <f>L1530</f>
        <v>0</v>
      </c>
      <c r="M1529" s="87">
        <f t="shared" si="311"/>
        <v>4742.6</v>
      </c>
      <c r="N1529" s="13">
        <f>N1530</f>
        <v>0</v>
      </c>
      <c r="O1529" s="87">
        <f t="shared" si="312"/>
        <v>4742.6</v>
      </c>
      <c r="P1529" s="13">
        <f>P1530</f>
        <v>0</v>
      </c>
      <c r="Q1529" s="87">
        <f t="shared" si="318"/>
        <v>4742.6</v>
      </c>
      <c r="R1529" s="13">
        <f>R1530</f>
        <v>0</v>
      </c>
      <c r="S1529" s="87">
        <f t="shared" si="314"/>
        <v>4742.6</v>
      </c>
    </row>
    <row r="1530" spans="1:19" ht="33">
      <c r="A1530" s="62" t="str">
        <f ca="1" t="shared" si="316"/>
        <v>Бюджетные инвестиции в объекты капитального строительства муниципальной собственности</v>
      </c>
      <c r="B1530" s="115">
        <v>811</v>
      </c>
      <c r="C1530" s="8" t="s">
        <v>203</v>
      </c>
      <c r="D1530" s="8" t="s">
        <v>203</v>
      </c>
      <c r="E1530" s="115" t="s">
        <v>417</v>
      </c>
      <c r="F1530" s="115">
        <v>414</v>
      </c>
      <c r="G1530" s="70">
        <v>4742.6</v>
      </c>
      <c r="H1530" s="70"/>
      <c r="I1530" s="70">
        <f t="shared" si="307"/>
        <v>4742.6</v>
      </c>
      <c r="J1530" s="70"/>
      <c r="K1530" s="87">
        <f t="shared" si="317"/>
        <v>4742.6</v>
      </c>
      <c r="L1530" s="13"/>
      <c r="M1530" s="87">
        <f t="shared" si="311"/>
        <v>4742.6</v>
      </c>
      <c r="N1530" s="13"/>
      <c r="O1530" s="87">
        <f t="shared" si="312"/>
        <v>4742.6</v>
      </c>
      <c r="P1530" s="13"/>
      <c r="Q1530" s="87">
        <f t="shared" si="318"/>
        <v>4742.6</v>
      </c>
      <c r="R1530" s="13"/>
      <c r="S1530" s="87">
        <f t="shared" si="314"/>
        <v>4742.6</v>
      </c>
    </row>
    <row r="1531" spans="1:19" ht="12.75">
      <c r="A1531" s="12" t="s">
        <v>259</v>
      </c>
      <c r="B1531" s="115">
        <v>811</v>
      </c>
      <c r="C1531" s="8" t="s">
        <v>203</v>
      </c>
      <c r="D1531" s="8" t="s">
        <v>227</v>
      </c>
      <c r="E1531" s="115"/>
      <c r="F1531" s="115"/>
      <c r="G1531" s="70">
        <f>G1532</f>
        <v>84530.1</v>
      </c>
      <c r="H1531" s="70">
        <f>H1532</f>
        <v>0</v>
      </c>
      <c r="I1531" s="70">
        <f t="shared" si="307"/>
        <v>84530.1</v>
      </c>
      <c r="J1531" s="70">
        <f>J1532</f>
        <v>10964.4</v>
      </c>
      <c r="K1531" s="87">
        <f t="shared" si="317"/>
        <v>95494.5</v>
      </c>
      <c r="L1531" s="13">
        <f>L1532</f>
        <v>-5157</v>
      </c>
      <c r="M1531" s="87">
        <f t="shared" si="311"/>
        <v>90337.5</v>
      </c>
      <c r="N1531" s="13">
        <f>N1532</f>
        <v>0</v>
      </c>
      <c r="O1531" s="87">
        <f t="shared" si="312"/>
        <v>90337.5</v>
      </c>
      <c r="P1531" s="13">
        <f>P1532</f>
        <v>3959.5</v>
      </c>
      <c r="Q1531" s="87">
        <f t="shared" si="318"/>
        <v>94297</v>
      </c>
      <c r="R1531" s="13">
        <f>R1532</f>
        <v>272746.4</v>
      </c>
      <c r="S1531" s="87">
        <f t="shared" si="314"/>
        <v>367043.4</v>
      </c>
    </row>
    <row r="1532" spans="1:19" ht="49.5">
      <c r="A1532" s="62" t="str">
        <f ca="1">IF(ISERROR(MATCH(E1532,Код_КЦСР,0)),"",INDIRECT(ADDRESS(MATCH(E1532,Код_КЦСР,0)+1,2,,,"КЦСР")))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32" s="115">
        <v>811</v>
      </c>
      <c r="C1532" s="8" t="s">
        <v>203</v>
      </c>
      <c r="D1532" s="8" t="s">
        <v>227</v>
      </c>
      <c r="E1532" s="115" t="s">
        <v>70</v>
      </c>
      <c r="F1532" s="115"/>
      <c r="G1532" s="70">
        <f>G1533+G1554</f>
        <v>84530.1</v>
      </c>
      <c r="H1532" s="70">
        <f>H1533+H1554</f>
        <v>0</v>
      </c>
      <c r="I1532" s="70">
        <f t="shared" si="307"/>
        <v>84530.1</v>
      </c>
      <c r="J1532" s="70">
        <f>J1533+J1554</f>
        <v>10964.4</v>
      </c>
      <c r="K1532" s="87">
        <f t="shared" si="317"/>
        <v>95494.5</v>
      </c>
      <c r="L1532" s="13">
        <f>L1533+L1554</f>
        <v>-5157</v>
      </c>
      <c r="M1532" s="87">
        <f t="shared" si="311"/>
        <v>90337.5</v>
      </c>
      <c r="N1532" s="13">
        <f>N1533+N1554</f>
        <v>0</v>
      </c>
      <c r="O1532" s="87">
        <f t="shared" si="312"/>
        <v>90337.5</v>
      </c>
      <c r="P1532" s="13">
        <f>P1533+P1554</f>
        <v>3959.5</v>
      </c>
      <c r="Q1532" s="87">
        <f t="shared" si="318"/>
        <v>94297</v>
      </c>
      <c r="R1532" s="13">
        <f>R1533+R1554+R1558</f>
        <v>272746.4</v>
      </c>
      <c r="S1532" s="87">
        <f t="shared" si="314"/>
        <v>367043.4</v>
      </c>
    </row>
    <row r="1533" spans="1:19" ht="33">
      <c r="A1533" s="62" t="str">
        <f ca="1">IF(ISERROR(MATCH(E1533,Код_КЦСР,0)),"",INDIRECT(ADDRESS(MATCH(E1533,Код_КЦСР,0)+1,2,,,"КЦСР")))</f>
        <v>Капитальное строительство и реконструкция объектов муниципальной собственности</v>
      </c>
      <c r="B1533" s="115">
        <v>811</v>
      </c>
      <c r="C1533" s="8" t="s">
        <v>203</v>
      </c>
      <c r="D1533" s="8" t="s">
        <v>227</v>
      </c>
      <c r="E1533" s="115" t="s">
        <v>72</v>
      </c>
      <c r="F1533" s="115"/>
      <c r="G1533" s="70">
        <f>G1534+G1538+G1542</f>
        <v>78778.8</v>
      </c>
      <c r="H1533" s="70">
        <f>H1534+H1538+H1542</f>
        <v>0</v>
      </c>
      <c r="I1533" s="70">
        <f t="shared" si="307"/>
        <v>78778.8</v>
      </c>
      <c r="J1533" s="70">
        <f>J1534+J1538+J1542+J1546</f>
        <v>10964.4</v>
      </c>
      <c r="K1533" s="87">
        <f t="shared" si="317"/>
        <v>89743.2</v>
      </c>
      <c r="L1533" s="13">
        <f>L1534+L1538+L1542+L1546</f>
        <v>-5157</v>
      </c>
      <c r="M1533" s="87">
        <f t="shared" si="311"/>
        <v>84586.2</v>
      </c>
      <c r="N1533" s="13">
        <f>N1534+N1538+N1542+N1546</f>
        <v>0</v>
      </c>
      <c r="O1533" s="87">
        <f t="shared" si="312"/>
        <v>84586.2</v>
      </c>
      <c r="P1533" s="13">
        <f>P1534+P1538+P1542+P1546</f>
        <v>3959.5</v>
      </c>
      <c r="Q1533" s="87">
        <f t="shared" si="318"/>
        <v>88545.7</v>
      </c>
      <c r="R1533" s="13">
        <f>R1534+R1538+R1542+R1546+R1550</f>
        <v>62702</v>
      </c>
      <c r="S1533" s="87">
        <f t="shared" si="314"/>
        <v>151247.7</v>
      </c>
    </row>
    <row r="1534" spans="1:19" ht="12.75">
      <c r="A1534" s="62" t="str">
        <f ca="1">IF(ISERROR(MATCH(E1534,Код_КЦСР,0)),"",INDIRECT(ADDRESS(MATCH(E1534,Код_КЦСР,0)+1,2,,,"КЦСР")))</f>
        <v>Строительство объектов сметной стоимостью до 100 млн. рублей</v>
      </c>
      <c r="B1534" s="115">
        <v>811</v>
      </c>
      <c r="C1534" s="8" t="s">
        <v>203</v>
      </c>
      <c r="D1534" s="8" t="s">
        <v>227</v>
      </c>
      <c r="E1534" s="115" t="s">
        <v>73</v>
      </c>
      <c r="F1534" s="115"/>
      <c r="G1534" s="70">
        <f aca="true" t="shared" si="319" ref="G1534:R1536">G1535</f>
        <v>178.8</v>
      </c>
      <c r="H1534" s="70">
        <f t="shared" si="319"/>
        <v>0</v>
      </c>
      <c r="I1534" s="70">
        <f t="shared" si="307"/>
        <v>178.8</v>
      </c>
      <c r="J1534" s="70">
        <f t="shared" si="319"/>
        <v>0</v>
      </c>
      <c r="K1534" s="87">
        <f t="shared" si="317"/>
        <v>178.8</v>
      </c>
      <c r="L1534" s="13">
        <f t="shared" si="319"/>
        <v>2500</v>
      </c>
      <c r="M1534" s="87">
        <f t="shared" si="311"/>
        <v>2678.8</v>
      </c>
      <c r="N1534" s="13">
        <f t="shared" si="319"/>
        <v>0</v>
      </c>
      <c r="O1534" s="87">
        <f t="shared" si="312"/>
        <v>2678.8</v>
      </c>
      <c r="P1534" s="13">
        <f t="shared" si="319"/>
        <v>3959.5</v>
      </c>
      <c r="Q1534" s="87">
        <f t="shared" si="318"/>
        <v>6638.3</v>
      </c>
      <c r="R1534" s="13">
        <f t="shared" si="319"/>
        <v>213.5</v>
      </c>
      <c r="S1534" s="87">
        <f t="shared" si="314"/>
        <v>6851.8</v>
      </c>
    </row>
    <row r="1535" spans="1:19" ht="33">
      <c r="A1535" s="62" t="str">
        <f ca="1">IF(ISERROR(MATCH(F1535,Код_КВР,0)),"",INDIRECT(ADDRESS(MATCH(F1535,Код_КВР,0)+1,2,,,"КВР")))</f>
        <v>Капитальные вложения в объекты недвижимого имущества муниципальной собственности</v>
      </c>
      <c r="B1535" s="115">
        <v>811</v>
      </c>
      <c r="C1535" s="8" t="s">
        <v>203</v>
      </c>
      <c r="D1535" s="8" t="s">
        <v>227</v>
      </c>
      <c r="E1535" s="115" t="s">
        <v>73</v>
      </c>
      <c r="F1535" s="115">
        <v>400</v>
      </c>
      <c r="G1535" s="70">
        <f t="shared" si="319"/>
        <v>178.8</v>
      </c>
      <c r="H1535" s="70">
        <f t="shared" si="319"/>
        <v>0</v>
      </c>
      <c r="I1535" s="70">
        <f t="shared" si="307"/>
        <v>178.8</v>
      </c>
      <c r="J1535" s="70">
        <f t="shared" si="319"/>
        <v>0</v>
      </c>
      <c r="K1535" s="87">
        <f t="shared" si="317"/>
        <v>178.8</v>
      </c>
      <c r="L1535" s="13">
        <f t="shared" si="319"/>
        <v>2500</v>
      </c>
      <c r="M1535" s="87">
        <f t="shared" si="311"/>
        <v>2678.8</v>
      </c>
      <c r="N1535" s="13">
        <f t="shared" si="319"/>
        <v>0</v>
      </c>
      <c r="O1535" s="87">
        <f t="shared" si="312"/>
        <v>2678.8</v>
      </c>
      <c r="P1535" s="13">
        <f t="shared" si="319"/>
        <v>3959.5</v>
      </c>
      <c r="Q1535" s="87">
        <f t="shared" si="318"/>
        <v>6638.3</v>
      </c>
      <c r="R1535" s="13">
        <f t="shared" si="319"/>
        <v>213.5</v>
      </c>
      <c r="S1535" s="87">
        <f t="shared" si="314"/>
        <v>6851.8</v>
      </c>
    </row>
    <row r="1536" spans="1:19" ht="12.75">
      <c r="A1536" s="62" t="str">
        <f ca="1">IF(ISERROR(MATCH(F1536,Код_КВР,0)),"",INDIRECT(ADDRESS(MATCH(F1536,Код_КВР,0)+1,2,,,"КВР")))</f>
        <v>Бюджетные инвестиции</v>
      </c>
      <c r="B1536" s="115">
        <v>811</v>
      </c>
      <c r="C1536" s="8" t="s">
        <v>203</v>
      </c>
      <c r="D1536" s="8" t="s">
        <v>227</v>
      </c>
      <c r="E1536" s="115" t="s">
        <v>73</v>
      </c>
      <c r="F1536" s="115">
        <v>410</v>
      </c>
      <c r="G1536" s="70">
        <f t="shared" si="319"/>
        <v>178.8</v>
      </c>
      <c r="H1536" s="70">
        <f t="shared" si="319"/>
        <v>0</v>
      </c>
      <c r="I1536" s="70">
        <f t="shared" si="307"/>
        <v>178.8</v>
      </c>
      <c r="J1536" s="70">
        <f t="shared" si="319"/>
        <v>0</v>
      </c>
      <c r="K1536" s="87">
        <f t="shared" si="317"/>
        <v>178.8</v>
      </c>
      <c r="L1536" s="13">
        <f t="shared" si="319"/>
        <v>2500</v>
      </c>
      <c r="M1536" s="87">
        <f t="shared" si="311"/>
        <v>2678.8</v>
      </c>
      <c r="N1536" s="13">
        <f t="shared" si="319"/>
        <v>0</v>
      </c>
      <c r="O1536" s="87">
        <f t="shared" si="312"/>
        <v>2678.8</v>
      </c>
      <c r="P1536" s="13">
        <f t="shared" si="319"/>
        <v>3959.5</v>
      </c>
      <c r="Q1536" s="87">
        <f t="shared" si="318"/>
        <v>6638.3</v>
      </c>
      <c r="R1536" s="13">
        <f t="shared" si="319"/>
        <v>213.5</v>
      </c>
      <c r="S1536" s="87">
        <f t="shared" si="314"/>
        <v>6851.8</v>
      </c>
    </row>
    <row r="1537" spans="1:19" ht="33">
      <c r="A1537" s="62" t="str">
        <f ca="1">IF(ISERROR(MATCH(F1537,Код_КВР,0)),"",INDIRECT(ADDRESS(MATCH(F1537,Код_КВР,0)+1,2,,,"КВР")))</f>
        <v>Бюджетные инвестиции в объекты капитального строительства муниципальной собственности</v>
      </c>
      <c r="B1537" s="115">
        <v>811</v>
      </c>
      <c r="C1537" s="8" t="s">
        <v>203</v>
      </c>
      <c r="D1537" s="8" t="s">
        <v>227</v>
      </c>
      <c r="E1537" s="115" t="s">
        <v>73</v>
      </c>
      <c r="F1537" s="115">
        <v>414</v>
      </c>
      <c r="G1537" s="70">
        <v>178.8</v>
      </c>
      <c r="H1537" s="70"/>
      <c r="I1537" s="70">
        <f t="shared" si="307"/>
        <v>178.8</v>
      </c>
      <c r="J1537" s="70"/>
      <c r="K1537" s="87">
        <f t="shared" si="317"/>
        <v>178.8</v>
      </c>
      <c r="L1537" s="13">
        <v>2500</v>
      </c>
      <c r="M1537" s="87">
        <f t="shared" si="311"/>
        <v>2678.8</v>
      </c>
      <c r="N1537" s="13"/>
      <c r="O1537" s="87">
        <f t="shared" si="312"/>
        <v>2678.8</v>
      </c>
      <c r="P1537" s="13">
        <v>3959.5</v>
      </c>
      <c r="Q1537" s="87">
        <f t="shared" si="318"/>
        <v>6638.3</v>
      </c>
      <c r="R1537" s="13">
        <f>286.4+286.4+286.4+283.3-178.8-750.2</f>
        <v>213.5</v>
      </c>
      <c r="S1537" s="87">
        <f t="shared" si="314"/>
        <v>6851.8</v>
      </c>
    </row>
    <row r="1538" spans="1:19" ht="12.75">
      <c r="A1538" s="62" t="str">
        <f ca="1">IF(ISERROR(MATCH(E1538,Код_КЦСР,0)),"",INDIRECT(ADDRESS(MATCH(E1538,Код_КЦСР,0)+1,2,,,"КЦСР")))</f>
        <v>Строительство детского сада № 35 на 330 мест в 105 мкр.</v>
      </c>
      <c r="B1538" s="115">
        <v>811</v>
      </c>
      <c r="C1538" s="8" t="s">
        <v>203</v>
      </c>
      <c r="D1538" s="8" t="s">
        <v>227</v>
      </c>
      <c r="E1538" s="115" t="s">
        <v>75</v>
      </c>
      <c r="F1538" s="115"/>
      <c r="G1538" s="70">
        <f aca="true" t="shared" si="320" ref="G1538:R1540">G1539</f>
        <v>51800</v>
      </c>
      <c r="H1538" s="70">
        <f t="shared" si="320"/>
        <v>0</v>
      </c>
      <c r="I1538" s="70">
        <f t="shared" si="307"/>
        <v>51800</v>
      </c>
      <c r="J1538" s="70">
        <f t="shared" si="320"/>
        <v>0</v>
      </c>
      <c r="K1538" s="87">
        <f t="shared" si="317"/>
        <v>51800</v>
      </c>
      <c r="L1538" s="13">
        <f t="shared" si="320"/>
        <v>-7657</v>
      </c>
      <c r="M1538" s="87">
        <f t="shared" si="311"/>
        <v>44143</v>
      </c>
      <c r="N1538" s="13">
        <f t="shared" si="320"/>
        <v>0</v>
      </c>
      <c r="O1538" s="87">
        <f t="shared" si="312"/>
        <v>44143</v>
      </c>
      <c r="P1538" s="13">
        <f t="shared" si="320"/>
        <v>0</v>
      </c>
      <c r="Q1538" s="87">
        <f t="shared" si="318"/>
        <v>44143</v>
      </c>
      <c r="R1538" s="13">
        <f t="shared" si="320"/>
        <v>0</v>
      </c>
      <c r="S1538" s="87">
        <f t="shared" si="314"/>
        <v>44143</v>
      </c>
    </row>
    <row r="1539" spans="1:19" ht="33">
      <c r="A1539" s="62" t="str">
        <f ca="1">IF(ISERROR(MATCH(F1539,Код_КВР,0)),"",INDIRECT(ADDRESS(MATCH(F1539,Код_КВР,0)+1,2,,,"КВР")))</f>
        <v>Капитальные вложения в объекты недвижимого имущества муниципальной собственности</v>
      </c>
      <c r="B1539" s="115">
        <v>811</v>
      </c>
      <c r="C1539" s="8" t="s">
        <v>203</v>
      </c>
      <c r="D1539" s="8" t="s">
        <v>227</v>
      </c>
      <c r="E1539" s="115" t="s">
        <v>75</v>
      </c>
      <c r="F1539" s="115">
        <v>400</v>
      </c>
      <c r="G1539" s="70">
        <f t="shared" si="320"/>
        <v>51800</v>
      </c>
      <c r="H1539" s="70">
        <f t="shared" si="320"/>
        <v>0</v>
      </c>
      <c r="I1539" s="70">
        <f t="shared" si="307"/>
        <v>51800</v>
      </c>
      <c r="J1539" s="70">
        <f t="shared" si="320"/>
        <v>0</v>
      </c>
      <c r="K1539" s="87">
        <f t="shared" si="317"/>
        <v>51800</v>
      </c>
      <c r="L1539" s="13">
        <f t="shared" si="320"/>
        <v>-7657</v>
      </c>
      <c r="M1539" s="87">
        <f t="shared" si="311"/>
        <v>44143</v>
      </c>
      <c r="N1539" s="13">
        <f t="shared" si="320"/>
        <v>0</v>
      </c>
      <c r="O1539" s="87">
        <f t="shared" si="312"/>
        <v>44143</v>
      </c>
      <c r="P1539" s="13">
        <f t="shared" si="320"/>
        <v>0</v>
      </c>
      <c r="Q1539" s="87">
        <f t="shared" si="318"/>
        <v>44143</v>
      </c>
      <c r="R1539" s="13">
        <f t="shared" si="320"/>
        <v>0</v>
      </c>
      <c r="S1539" s="87">
        <f t="shared" si="314"/>
        <v>44143</v>
      </c>
    </row>
    <row r="1540" spans="1:19" ht="12.75">
      <c r="A1540" s="62" t="str">
        <f ca="1">IF(ISERROR(MATCH(F1540,Код_КВР,0)),"",INDIRECT(ADDRESS(MATCH(F1540,Код_КВР,0)+1,2,,,"КВР")))</f>
        <v>Бюджетные инвестиции</v>
      </c>
      <c r="B1540" s="115">
        <v>811</v>
      </c>
      <c r="C1540" s="8" t="s">
        <v>203</v>
      </c>
      <c r="D1540" s="8" t="s">
        <v>227</v>
      </c>
      <c r="E1540" s="115" t="s">
        <v>75</v>
      </c>
      <c r="F1540" s="115">
        <v>410</v>
      </c>
      <c r="G1540" s="70">
        <f t="shared" si="320"/>
        <v>51800</v>
      </c>
      <c r="H1540" s="70">
        <f t="shared" si="320"/>
        <v>0</v>
      </c>
      <c r="I1540" s="70">
        <f t="shared" si="307"/>
        <v>51800</v>
      </c>
      <c r="J1540" s="70">
        <f t="shared" si="320"/>
        <v>0</v>
      </c>
      <c r="K1540" s="87">
        <f t="shared" si="317"/>
        <v>51800</v>
      </c>
      <c r="L1540" s="13">
        <f t="shared" si="320"/>
        <v>-7657</v>
      </c>
      <c r="M1540" s="87">
        <f t="shared" si="311"/>
        <v>44143</v>
      </c>
      <c r="N1540" s="13">
        <f t="shared" si="320"/>
        <v>0</v>
      </c>
      <c r="O1540" s="87">
        <f t="shared" si="312"/>
        <v>44143</v>
      </c>
      <c r="P1540" s="13">
        <f t="shared" si="320"/>
        <v>0</v>
      </c>
      <c r="Q1540" s="87">
        <f t="shared" si="318"/>
        <v>44143</v>
      </c>
      <c r="R1540" s="13">
        <f t="shared" si="320"/>
        <v>0</v>
      </c>
      <c r="S1540" s="87">
        <f t="shared" si="314"/>
        <v>44143</v>
      </c>
    </row>
    <row r="1541" spans="1:19" ht="33">
      <c r="A1541" s="62" t="str">
        <f ca="1">IF(ISERROR(MATCH(F1541,Код_КВР,0)),"",INDIRECT(ADDRESS(MATCH(F1541,Код_КВР,0)+1,2,,,"КВР")))</f>
        <v>Бюджетные инвестиции в объекты капитального строительства муниципальной собственности</v>
      </c>
      <c r="B1541" s="115">
        <v>811</v>
      </c>
      <c r="C1541" s="8" t="s">
        <v>203</v>
      </c>
      <c r="D1541" s="8" t="s">
        <v>227</v>
      </c>
      <c r="E1541" s="115" t="s">
        <v>75</v>
      </c>
      <c r="F1541" s="115">
        <v>414</v>
      </c>
      <c r="G1541" s="70">
        <v>51800</v>
      </c>
      <c r="H1541" s="70"/>
      <c r="I1541" s="70">
        <f t="shared" si="307"/>
        <v>51800</v>
      </c>
      <c r="J1541" s="70"/>
      <c r="K1541" s="87">
        <f t="shared" si="317"/>
        <v>51800</v>
      </c>
      <c r="L1541" s="13">
        <v>-7657</v>
      </c>
      <c r="M1541" s="87">
        <f t="shared" si="311"/>
        <v>44143</v>
      </c>
      <c r="N1541" s="13"/>
      <c r="O1541" s="87">
        <f t="shared" si="312"/>
        <v>44143</v>
      </c>
      <c r="P1541" s="13"/>
      <c r="Q1541" s="87">
        <f t="shared" si="318"/>
        <v>44143</v>
      </c>
      <c r="R1541" s="13"/>
      <c r="S1541" s="87">
        <f t="shared" si="314"/>
        <v>44143</v>
      </c>
    </row>
    <row r="1542" spans="1:19" ht="12.75">
      <c r="A1542" s="62" t="str">
        <f ca="1">IF(ISERROR(MATCH(E1542,Код_КЦСР,0)),"",INDIRECT(ADDRESS(MATCH(E1542,Код_КЦСР,0)+1,2,,,"КЦСР")))</f>
        <v>Строительство детского сада № 27 в 115 мкр.</v>
      </c>
      <c r="B1542" s="115">
        <v>811</v>
      </c>
      <c r="C1542" s="8" t="s">
        <v>203</v>
      </c>
      <c r="D1542" s="8" t="s">
        <v>227</v>
      </c>
      <c r="E1542" s="115" t="s">
        <v>76</v>
      </c>
      <c r="F1542" s="115"/>
      <c r="G1542" s="70">
        <f aca="true" t="shared" si="321" ref="G1542:R1544">G1543</f>
        <v>26800</v>
      </c>
      <c r="H1542" s="70">
        <f t="shared" si="321"/>
        <v>0</v>
      </c>
      <c r="I1542" s="70">
        <f t="shared" si="307"/>
        <v>26800</v>
      </c>
      <c r="J1542" s="70">
        <f t="shared" si="321"/>
        <v>0</v>
      </c>
      <c r="K1542" s="87">
        <f t="shared" si="317"/>
        <v>26800</v>
      </c>
      <c r="L1542" s="13">
        <f t="shared" si="321"/>
        <v>0</v>
      </c>
      <c r="M1542" s="87">
        <f t="shared" si="311"/>
        <v>26800</v>
      </c>
      <c r="N1542" s="13">
        <f t="shared" si="321"/>
        <v>0</v>
      </c>
      <c r="O1542" s="87">
        <f t="shared" si="312"/>
        <v>26800</v>
      </c>
      <c r="P1542" s="13">
        <f t="shared" si="321"/>
        <v>0</v>
      </c>
      <c r="Q1542" s="87">
        <f t="shared" si="318"/>
        <v>26800</v>
      </c>
      <c r="R1542" s="13">
        <f t="shared" si="321"/>
        <v>67686.3</v>
      </c>
      <c r="S1542" s="87">
        <f t="shared" si="314"/>
        <v>94486.3</v>
      </c>
    </row>
    <row r="1543" spans="1:19" ht="33">
      <c r="A1543" s="62" t="str">
        <f ca="1">IF(ISERROR(MATCH(F1543,Код_КВР,0)),"",INDIRECT(ADDRESS(MATCH(F1543,Код_КВР,0)+1,2,,,"КВР")))</f>
        <v>Капитальные вложения в объекты недвижимого имущества муниципальной собственности</v>
      </c>
      <c r="B1543" s="115">
        <v>811</v>
      </c>
      <c r="C1543" s="8" t="s">
        <v>203</v>
      </c>
      <c r="D1543" s="8" t="s">
        <v>227</v>
      </c>
      <c r="E1543" s="115" t="s">
        <v>76</v>
      </c>
      <c r="F1543" s="115">
        <v>400</v>
      </c>
      <c r="G1543" s="70">
        <f t="shared" si="321"/>
        <v>26800</v>
      </c>
      <c r="H1543" s="70">
        <f t="shared" si="321"/>
        <v>0</v>
      </c>
      <c r="I1543" s="70">
        <f aca="true" t="shared" si="322" ref="I1543:I1632">G1543+H1543</f>
        <v>26800</v>
      </c>
      <c r="J1543" s="70">
        <f t="shared" si="321"/>
        <v>0</v>
      </c>
      <c r="K1543" s="87">
        <f t="shared" si="317"/>
        <v>26800</v>
      </c>
      <c r="L1543" s="13">
        <f t="shared" si="321"/>
        <v>0</v>
      </c>
      <c r="M1543" s="87">
        <f t="shared" si="311"/>
        <v>26800</v>
      </c>
      <c r="N1543" s="13">
        <f t="shared" si="321"/>
        <v>0</v>
      </c>
      <c r="O1543" s="87">
        <f t="shared" si="312"/>
        <v>26800</v>
      </c>
      <c r="P1543" s="13">
        <f t="shared" si="321"/>
        <v>0</v>
      </c>
      <c r="Q1543" s="87">
        <f t="shared" si="318"/>
        <v>26800</v>
      </c>
      <c r="R1543" s="13">
        <f t="shared" si="321"/>
        <v>67686.3</v>
      </c>
      <c r="S1543" s="87">
        <f t="shared" si="314"/>
        <v>94486.3</v>
      </c>
    </row>
    <row r="1544" spans="1:19" ht="12.75">
      <c r="A1544" s="62" t="str">
        <f ca="1">IF(ISERROR(MATCH(F1544,Код_КВР,0)),"",INDIRECT(ADDRESS(MATCH(F1544,Код_КВР,0)+1,2,,,"КВР")))</f>
        <v>Бюджетные инвестиции</v>
      </c>
      <c r="B1544" s="115">
        <v>811</v>
      </c>
      <c r="C1544" s="8" t="s">
        <v>203</v>
      </c>
      <c r="D1544" s="8" t="s">
        <v>227</v>
      </c>
      <c r="E1544" s="115" t="s">
        <v>76</v>
      </c>
      <c r="F1544" s="115">
        <v>410</v>
      </c>
      <c r="G1544" s="70">
        <f t="shared" si="321"/>
        <v>26800</v>
      </c>
      <c r="H1544" s="70">
        <f t="shared" si="321"/>
        <v>0</v>
      </c>
      <c r="I1544" s="70">
        <f t="shared" si="322"/>
        <v>26800</v>
      </c>
      <c r="J1544" s="70">
        <f t="shared" si="321"/>
        <v>0</v>
      </c>
      <c r="K1544" s="87">
        <f t="shared" si="317"/>
        <v>26800</v>
      </c>
      <c r="L1544" s="13">
        <f t="shared" si="321"/>
        <v>0</v>
      </c>
      <c r="M1544" s="87">
        <f t="shared" si="311"/>
        <v>26800</v>
      </c>
      <c r="N1544" s="13">
        <f t="shared" si="321"/>
        <v>0</v>
      </c>
      <c r="O1544" s="87">
        <f t="shared" si="312"/>
        <v>26800</v>
      </c>
      <c r="P1544" s="13">
        <f t="shared" si="321"/>
        <v>0</v>
      </c>
      <c r="Q1544" s="87">
        <f t="shared" si="318"/>
        <v>26800</v>
      </c>
      <c r="R1544" s="13">
        <f t="shared" si="321"/>
        <v>67686.3</v>
      </c>
      <c r="S1544" s="87">
        <f t="shared" si="314"/>
        <v>94486.3</v>
      </c>
    </row>
    <row r="1545" spans="1:19" ht="33">
      <c r="A1545" s="62" t="str">
        <f ca="1">IF(ISERROR(MATCH(F1545,Код_КВР,0)),"",INDIRECT(ADDRESS(MATCH(F1545,Код_КВР,0)+1,2,,,"КВР")))</f>
        <v>Бюджетные инвестиции в объекты капитального строительства муниципальной собственности</v>
      </c>
      <c r="B1545" s="115">
        <v>811</v>
      </c>
      <c r="C1545" s="8" t="s">
        <v>203</v>
      </c>
      <c r="D1545" s="8" t="s">
        <v>227</v>
      </c>
      <c r="E1545" s="115" t="s">
        <v>76</v>
      </c>
      <c r="F1545" s="115">
        <v>414</v>
      </c>
      <c r="G1545" s="70">
        <v>26800</v>
      </c>
      <c r="H1545" s="70"/>
      <c r="I1545" s="70">
        <f t="shared" si="322"/>
        <v>26800</v>
      </c>
      <c r="J1545" s="70"/>
      <c r="K1545" s="87">
        <f t="shared" si="317"/>
        <v>26800</v>
      </c>
      <c r="L1545" s="13"/>
      <c r="M1545" s="87">
        <f t="shared" si="311"/>
        <v>26800</v>
      </c>
      <c r="N1545" s="13"/>
      <c r="O1545" s="87">
        <f t="shared" si="312"/>
        <v>26800</v>
      </c>
      <c r="P1545" s="13"/>
      <c r="Q1545" s="87">
        <f t="shared" si="318"/>
        <v>26800</v>
      </c>
      <c r="R1545" s="13">
        <f>109794-45124.4+3017.1-0.4</f>
        <v>67686.3</v>
      </c>
      <c r="S1545" s="87">
        <f t="shared" si="314"/>
        <v>94486.3</v>
      </c>
    </row>
    <row r="1546" spans="1:19" ht="12.75">
      <c r="A1546" s="62" t="str">
        <f ca="1">IF(ISERROR(MATCH(E1546,Код_КЦСР,0)),"",INDIRECT(ADDRESS(MATCH(E1546,Код_КЦСР,0)+1,2,,,"КЦСР")))</f>
        <v>Строительство детского сада № 20 в 112 мкр.</v>
      </c>
      <c r="B1546" s="115">
        <v>811</v>
      </c>
      <c r="C1546" s="8" t="s">
        <v>203</v>
      </c>
      <c r="D1546" s="8" t="s">
        <v>227</v>
      </c>
      <c r="E1546" s="115" t="s">
        <v>602</v>
      </c>
      <c r="F1546" s="115"/>
      <c r="G1546" s="70"/>
      <c r="H1546" s="70"/>
      <c r="I1546" s="70"/>
      <c r="J1546" s="70">
        <f>J1547</f>
        <v>10964.4</v>
      </c>
      <c r="K1546" s="87">
        <f t="shared" si="317"/>
        <v>10964.4</v>
      </c>
      <c r="L1546" s="13">
        <f>L1547</f>
        <v>0</v>
      </c>
      <c r="M1546" s="87">
        <f t="shared" si="311"/>
        <v>10964.4</v>
      </c>
      <c r="N1546" s="13">
        <f>N1547</f>
        <v>0</v>
      </c>
      <c r="O1546" s="87">
        <f t="shared" si="312"/>
        <v>10964.4</v>
      </c>
      <c r="P1546" s="13">
        <f>P1547</f>
        <v>0</v>
      </c>
      <c r="Q1546" s="87">
        <f t="shared" si="318"/>
        <v>10964.4</v>
      </c>
      <c r="R1546" s="13">
        <f>R1547</f>
        <v>-6487.5</v>
      </c>
      <c r="S1546" s="87">
        <f t="shared" si="314"/>
        <v>4476.9</v>
      </c>
    </row>
    <row r="1547" spans="1:19" ht="33">
      <c r="A1547" s="62" t="str">
        <f ca="1">IF(ISERROR(MATCH(F1547,Код_КВР,0)),"",INDIRECT(ADDRESS(MATCH(F1547,Код_КВР,0)+1,2,,,"КВР")))</f>
        <v>Капитальные вложения в объекты недвижимого имущества муниципальной собственности</v>
      </c>
      <c r="B1547" s="115">
        <v>811</v>
      </c>
      <c r="C1547" s="8" t="s">
        <v>203</v>
      </c>
      <c r="D1547" s="8" t="s">
        <v>227</v>
      </c>
      <c r="E1547" s="115" t="s">
        <v>602</v>
      </c>
      <c r="F1547" s="115">
        <v>400</v>
      </c>
      <c r="G1547" s="70"/>
      <c r="H1547" s="70"/>
      <c r="I1547" s="70"/>
      <c r="J1547" s="70">
        <f>J1548</f>
        <v>10964.4</v>
      </c>
      <c r="K1547" s="87">
        <f t="shared" si="317"/>
        <v>10964.4</v>
      </c>
      <c r="L1547" s="13">
        <f>L1548</f>
        <v>0</v>
      </c>
      <c r="M1547" s="87">
        <f t="shared" si="311"/>
        <v>10964.4</v>
      </c>
      <c r="N1547" s="13">
        <f>N1548</f>
        <v>0</v>
      </c>
      <c r="O1547" s="87">
        <f t="shared" si="312"/>
        <v>10964.4</v>
      </c>
      <c r="P1547" s="13">
        <f>P1548</f>
        <v>0</v>
      </c>
      <c r="Q1547" s="87">
        <f t="shared" si="318"/>
        <v>10964.4</v>
      </c>
      <c r="R1547" s="13">
        <f>R1548</f>
        <v>-6487.5</v>
      </c>
      <c r="S1547" s="87">
        <f t="shared" si="314"/>
        <v>4476.9</v>
      </c>
    </row>
    <row r="1548" spans="1:19" ht="12.75">
      <c r="A1548" s="62" t="str">
        <f ca="1">IF(ISERROR(MATCH(F1548,Код_КВР,0)),"",INDIRECT(ADDRESS(MATCH(F1548,Код_КВР,0)+1,2,,,"КВР")))</f>
        <v>Бюджетные инвестиции</v>
      </c>
      <c r="B1548" s="115">
        <v>811</v>
      </c>
      <c r="C1548" s="8" t="s">
        <v>203</v>
      </c>
      <c r="D1548" s="8" t="s">
        <v>227</v>
      </c>
      <c r="E1548" s="115" t="s">
        <v>602</v>
      </c>
      <c r="F1548" s="115">
        <v>410</v>
      </c>
      <c r="G1548" s="70"/>
      <c r="H1548" s="70"/>
      <c r="I1548" s="70"/>
      <c r="J1548" s="70">
        <f>J1549</f>
        <v>10964.4</v>
      </c>
      <c r="K1548" s="87">
        <f t="shared" si="317"/>
        <v>10964.4</v>
      </c>
      <c r="L1548" s="13">
        <f>L1549</f>
        <v>0</v>
      </c>
      <c r="M1548" s="87">
        <f t="shared" si="311"/>
        <v>10964.4</v>
      </c>
      <c r="N1548" s="13">
        <f>N1549</f>
        <v>0</v>
      </c>
      <c r="O1548" s="87">
        <f t="shared" si="312"/>
        <v>10964.4</v>
      </c>
      <c r="P1548" s="13">
        <f>P1549</f>
        <v>0</v>
      </c>
      <c r="Q1548" s="87">
        <f t="shared" si="318"/>
        <v>10964.4</v>
      </c>
      <c r="R1548" s="13">
        <f>R1549</f>
        <v>-6487.5</v>
      </c>
      <c r="S1548" s="87">
        <f t="shared" si="314"/>
        <v>4476.9</v>
      </c>
    </row>
    <row r="1549" spans="1:19" ht="33">
      <c r="A1549" s="62" t="str">
        <f ca="1">IF(ISERROR(MATCH(F1549,Код_КВР,0)),"",INDIRECT(ADDRESS(MATCH(F1549,Код_КВР,0)+1,2,,,"КВР")))</f>
        <v>Бюджетные инвестиции в объекты капитального строительства муниципальной собственности</v>
      </c>
      <c r="B1549" s="115">
        <v>811</v>
      </c>
      <c r="C1549" s="8" t="s">
        <v>203</v>
      </c>
      <c r="D1549" s="8" t="s">
        <v>227</v>
      </c>
      <c r="E1549" s="115" t="s">
        <v>602</v>
      </c>
      <c r="F1549" s="115">
        <v>414</v>
      </c>
      <c r="G1549" s="70"/>
      <c r="H1549" s="70"/>
      <c r="I1549" s="70"/>
      <c r="J1549" s="70">
        <v>10964.4</v>
      </c>
      <c r="K1549" s="87">
        <f t="shared" si="317"/>
        <v>10964.4</v>
      </c>
      <c r="L1549" s="13"/>
      <c r="M1549" s="87">
        <f t="shared" si="311"/>
        <v>10964.4</v>
      </c>
      <c r="N1549" s="13"/>
      <c r="O1549" s="87">
        <f t="shared" si="312"/>
        <v>10964.4</v>
      </c>
      <c r="P1549" s="13"/>
      <c r="Q1549" s="87">
        <f>O1549+P1549</f>
        <v>10964.4</v>
      </c>
      <c r="R1549" s="13">
        <f>-6402-85.5</f>
        <v>-6487.5</v>
      </c>
      <c r="S1549" s="87">
        <f t="shared" si="314"/>
        <v>4476.9</v>
      </c>
    </row>
    <row r="1550" spans="1:19" s="94" customFormat="1" ht="23.25" customHeight="1">
      <c r="A1550" s="62" t="str">
        <f ca="1">IF(ISERROR(MATCH(E1550,Код_КЦСР,0)),"",INDIRECT(ADDRESS(MATCH(E1550,Код_КЦСР,0)+1,2,,,"КЦСР")))</f>
        <v>Строительство средней общеобразовательной школы № 24 в 112 мкр.</v>
      </c>
      <c r="B1550" s="129">
        <v>811</v>
      </c>
      <c r="C1550" s="8" t="s">
        <v>203</v>
      </c>
      <c r="D1550" s="8" t="s">
        <v>227</v>
      </c>
      <c r="E1550" s="129" t="s">
        <v>662</v>
      </c>
      <c r="F1550" s="129"/>
      <c r="G1550" s="70"/>
      <c r="H1550" s="70"/>
      <c r="I1550" s="70"/>
      <c r="J1550" s="70"/>
      <c r="K1550" s="87"/>
      <c r="L1550" s="13"/>
      <c r="M1550" s="87"/>
      <c r="N1550" s="13"/>
      <c r="O1550" s="87"/>
      <c r="P1550" s="13"/>
      <c r="Q1550" s="87"/>
      <c r="R1550" s="13">
        <f>R1551</f>
        <v>1289.7</v>
      </c>
      <c r="S1550" s="87">
        <f t="shared" si="314"/>
        <v>1289.7</v>
      </c>
    </row>
    <row r="1551" spans="1:19" s="94" customFormat="1" ht="33">
      <c r="A1551" s="62" t="str">
        <f ca="1">IF(ISERROR(MATCH(F1551,Код_КВР,0)),"",INDIRECT(ADDRESS(MATCH(F1551,Код_КВР,0)+1,2,,,"КВР")))</f>
        <v>Капитальные вложения в объекты недвижимого имущества муниципальной собственности</v>
      </c>
      <c r="B1551" s="129">
        <v>811</v>
      </c>
      <c r="C1551" s="8" t="s">
        <v>203</v>
      </c>
      <c r="D1551" s="8" t="s">
        <v>227</v>
      </c>
      <c r="E1551" s="129" t="s">
        <v>662</v>
      </c>
      <c r="F1551" s="129">
        <v>400</v>
      </c>
      <c r="G1551" s="70"/>
      <c r="H1551" s="70"/>
      <c r="I1551" s="70"/>
      <c r="J1551" s="70"/>
      <c r="K1551" s="87"/>
      <c r="L1551" s="13"/>
      <c r="M1551" s="87"/>
      <c r="N1551" s="13"/>
      <c r="O1551" s="87"/>
      <c r="P1551" s="13"/>
      <c r="Q1551" s="87"/>
      <c r="R1551" s="13">
        <f>R1552</f>
        <v>1289.7</v>
      </c>
      <c r="S1551" s="87">
        <f t="shared" si="314"/>
        <v>1289.7</v>
      </c>
    </row>
    <row r="1552" spans="1:19" s="94" customFormat="1" ht="12.75">
      <c r="A1552" s="62" t="str">
        <f ca="1">IF(ISERROR(MATCH(F1552,Код_КВР,0)),"",INDIRECT(ADDRESS(MATCH(F1552,Код_КВР,0)+1,2,,,"КВР")))</f>
        <v>Бюджетные инвестиции</v>
      </c>
      <c r="B1552" s="129">
        <v>811</v>
      </c>
      <c r="C1552" s="8" t="s">
        <v>203</v>
      </c>
      <c r="D1552" s="8" t="s">
        <v>227</v>
      </c>
      <c r="E1552" s="129" t="s">
        <v>662</v>
      </c>
      <c r="F1552" s="129">
        <v>410</v>
      </c>
      <c r="G1552" s="70"/>
      <c r="H1552" s="70"/>
      <c r="I1552" s="70"/>
      <c r="J1552" s="70"/>
      <c r="K1552" s="87"/>
      <c r="L1552" s="13"/>
      <c r="M1552" s="87"/>
      <c r="N1552" s="13"/>
      <c r="O1552" s="87"/>
      <c r="P1552" s="13"/>
      <c r="Q1552" s="87"/>
      <c r="R1552" s="13">
        <f>R1553</f>
        <v>1289.7</v>
      </c>
      <c r="S1552" s="87">
        <f t="shared" si="314"/>
        <v>1289.7</v>
      </c>
    </row>
    <row r="1553" spans="1:19" s="94" customFormat="1" ht="33">
      <c r="A1553" s="62" t="str">
        <f ca="1">IF(ISERROR(MATCH(F1553,Код_КВР,0)),"",INDIRECT(ADDRESS(MATCH(F1553,Код_КВР,0)+1,2,,,"КВР")))</f>
        <v>Бюджетные инвестиции в объекты капитального строительства муниципальной собственности</v>
      </c>
      <c r="B1553" s="129">
        <v>811</v>
      </c>
      <c r="C1553" s="8" t="s">
        <v>203</v>
      </c>
      <c r="D1553" s="8" t="s">
        <v>227</v>
      </c>
      <c r="E1553" s="129" t="s">
        <v>662</v>
      </c>
      <c r="F1553" s="129">
        <v>414</v>
      </c>
      <c r="G1553" s="70"/>
      <c r="H1553" s="70"/>
      <c r="I1553" s="70"/>
      <c r="J1553" s="70"/>
      <c r="K1553" s="87"/>
      <c r="L1553" s="13"/>
      <c r="M1553" s="87"/>
      <c r="N1553" s="13"/>
      <c r="O1553" s="87"/>
      <c r="P1553" s="13"/>
      <c r="Q1553" s="87"/>
      <c r="R1553" s="13">
        <v>1289.7</v>
      </c>
      <c r="S1553" s="87">
        <f t="shared" si="314"/>
        <v>1289.7</v>
      </c>
    </row>
    <row r="1554" spans="1:19" ht="12.75">
      <c r="A1554" s="62" t="str">
        <f ca="1">IF(ISERROR(MATCH(E1554,Код_КЦСР,0)),"",INDIRECT(ADDRESS(MATCH(E1554,Код_КЦСР,0)+1,2,,,"КЦСР")))</f>
        <v>Капитальный ремонт  объектов муниципальной собственности</v>
      </c>
      <c r="B1554" s="115">
        <v>811</v>
      </c>
      <c r="C1554" s="8" t="s">
        <v>203</v>
      </c>
      <c r="D1554" s="8" t="s">
        <v>227</v>
      </c>
      <c r="E1554" s="115" t="s">
        <v>78</v>
      </c>
      <c r="F1554" s="115"/>
      <c r="G1554" s="70">
        <f aca="true" t="shared" si="323" ref="G1554:R1556">G1555</f>
        <v>5751.3</v>
      </c>
      <c r="H1554" s="70">
        <f t="shared" si="323"/>
        <v>0</v>
      </c>
      <c r="I1554" s="70">
        <f t="shared" si="322"/>
        <v>5751.3</v>
      </c>
      <c r="J1554" s="70">
        <f t="shared" si="323"/>
        <v>0</v>
      </c>
      <c r="K1554" s="87">
        <f t="shared" si="317"/>
        <v>5751.3</v>
      </c>
      <c r="L1554" s="13">
        <f t="shared" si="323"/>
        <v>0</v>
      </c>
      <c r="M1554" s="87">
        <f t="shared" si="311"/>
        <v>5751.3</v>
      </c>
      <c r="N1554" s="13">
        <f t="shared" si="323"/>
        <v>0</v>
      </c>
      <c r="O1554" s="87">
        <f t="shared" si="312"/>
        <v>5751.3</v>
      </c>
      <c r="P1554" s="13">
        <f t="shared" si="323"/>
        <v>0</v>
      </c>
      <c r="Q1554" s="87">
        <f t="shared" si="318"/>
        <v>5751.3</v>
      </c>
      <c r="R1554" s="13">
        <f t="shared" si="323"/>
        <v>-5751.3</v>
      </c>
      <c r="S1554" s="87">
        <f t="shared" si="314"/>
        <v>0</v>
      </c>
    </row>
    <row r="1555" spans="1:19" ht="12.75">
      <c r="A1555" s="62" t="str">
        <f ca="1">IF(ISERROR(MATCH(F1555,Код_КВР,0)),"",INDIRECT(ADDRESS(MATCH(F1555,Код_КВР,0)+1,2,,,"КВР")))</f>
        <v>Закупка товаров, работ и услуг для муниципальных нужд</v>
      </c>
      <c r="B1555" s="115">
        <v>811</v>
      </c>
      <c r="C1555" s="8" t="s">
        <v>203</v>
      </c>
      <c r="D1555" s="8" t="s">
        <v>227</v>
      </c>
      <c r="E1555" s="115" t="s">
        <v>78</v>
      </c>
      <c r="F1555" s="115">
        <v>200</v>
      </c>
      <c r="G1555" s="70">
        <f t="shared" si="323"/>
        <v>5751.3</v>
      </c>
      <c r="H1555" s="70">
        <f t="shared" si="323"/>
        <v>0</v>
      </c>
      <c r="I1555" s="70">
        <f t="shared" si="322"/>
        <v>5751.3</v>
      </c>
      <c r="J1555" s="70">
        <f t="shared" si="323"/>
        <v>0</v>
      </c>
      <c r="K1555" s="87">
        <f t="shared" si="317"/>
        <v>5751.3</v>
      </c>
      <c r="L1555" s="13">
        <f t="shared" si="323"/>
        <v>0</v>
      </c>
      <c r="M1555" s="87">
        <f t="shared" si="311"/>
        <v>5751.3</v>
      </c>
      <c r="N1555" s="13">
        <f t="shared" si="323"/>
        <v>0</v>
      </c>
      <c r="O1555" s="87">
        <f t="shared" si="312"/>
        <v>5751.3</v>
      </c>
      <c r="P1555" s="13">
        <f t="shared" si="323"/>
        <v>0</v>
      </c>
      <c r="Q1555" s="87">
        <f t="shared" si="318"/>
        <v>5751.3</v>
      </c>
      <c r="R1555" s="13">
        <f t="shared" si="323"/>
        <v>-5751.3</v>
      </c>
      <c r="S1555" s="87">
        <f t="shared" si="314"/>
        <v>0</v>
      </c>
    </row>
    <row r="1556" spans="1:19" ht="33">
      <c r="A1556" s="62" t="str">
        <f ca="1">IF(ISERROR(MATCH(F1556,Код_КВР,0)),"",INDIRECT(ADDRESS(MATCH(F1556,Код_КВР,0)+1,2,,,"КВР")))</f>
        <v>Иные закупки товаров, работ и услуг для обеспечения муниципальных нужд</v>
      </c>
      <c r="B1556" s="115">
        <v>811</v>
      </c>
      <c r="C1556" s="8" t="s">
        <v>203</v>
      </c>
      <c r="D1556" s="8" t="s">
        <v>227</v>
      </c>
      <c r="E1556" s="115" t="s">
        <v>78</v>
      </c>
      <c r="F1556" s="115">
        <v>240</v>
      </c>
      <c r="G1556" s="70">
        <f t="shared" si="323"/>
        <v>5751.3</v>
      </c>
      <c r="H1556" s="70">
        <f t="shared" si="323"/>
        <v>0</v>
      </c>
      <c r="I1556" s="70">
        <f t="shared" si="322"/>
        <v>5751.3</v>
      </c>
      <c r="J1556" s="70">
        <f t="shared" si="323"/>
        <v>0</v>
      </c>
      <c r="K1556" s="87">
        <f t="shared" si="317"/>
        <v>5751.3</v>
      </c>
      <c r="L1556" s="13">
        <f t="shared" si="323"/>
        <v>0</v>
      </c>
      <c r="M1556" s="87">
        <f t="shared" si="311"/>
        <v>5751.3</v>
      </c>
      <c r="N1556" s="13">
        <f t="shared" si="323"/>
        <v>0</v>
      </c>
      <c r="O1556" s="87">
        <f t="shared" si="312"/>
        <v>5751.3</v>
      </c>
      <c r="P1556" s="13">
        <f t="shared" si="323"/>
        <v>0</v>
      </c>
      <c r="Q1556" s="87">
        <f t="shared" si="318"/>
        <v>5751.3</v>
      </c>
      <c r="R1556" s="13">
        <f t="shared" si="323"/>
        <v>-5751.3</v>
      </c>
      <c r="S1556" s="87">
        <f t="shared" si="314"/>
        <v>0</v>
      </c>
    </row>
    <row r="1557" spans="1:19" ht="33">
      <c r="A1557" s="62" t="str">
        <f ca="1">IF(ISERROR(MATCH(F1557,Код_КВР,0)),"",INDIRECT(ADDRESS(MATCH(F1557,Код_КВР,0)+1,2,,,"КВР")))</f>
        <v>Закупка товаров, работ, услуг в целях капитального ремонта муниципального имущества</v>
      </c>
      <c r="B1557" s="115">
        <v>811</v>
      </c>
      <c r="C1557" s="8" t="s">
        <v>203</v>
      </c>
      <c r="D1557" s="8" t="s">
        <v>227</v>
      </c>
      <c r="E1557" s="115" t="s">
        <v>78</v>
      </c>
      <c r="F1557" s="115">
        <v>243</v>
      </c>
      <c r="G1557" s="70">
        <v>5751.3</v>
      </c>
      <c r="H1557" s="70"/>
      <c r="I1557" s="70">
        <f t="shared" si="322"/>
        <v>5751.3</v>
      </c>
      <c r="J1557" s="70"/>
      <c r="K1557" s="87">
        <f t="shared" si="317"/>
        <v>5751.3</v>
      </c>
      <c r="L1557" s="13"/>
      <c r="M1557" s="87">
        <f t="shared" si="311"/>
        <v>5751.3</v>
      </c>
      <c r="N1557" s="13"/>
      <c r="O1557" s="87">
        <f t="shared" si="312"/>
        <v>5751.3</v>
      </c>
      <c r="P1557" s="13"/>
      <c r="Q1557" s="87">
        <f t="shared" si="318"/>
        <v>5751.3</v>
      </c>
      <c r="R1557" s="13">
        <v>-5751.3</v>
      </c>
      <c r="S1557" s="87">
        <f t="shared" si="314"/>
        <v>0</v>
      </c>
    </row>
    <row r="1558" spans="1:19" s="94" customFormat="1" ht="38.25" customHeight="1">
      <c r="A1558" s="62" t="str">
        <f ca="1">IF(ISERROR(MATCH(E1558,Код_КЦСР,0)),"",INDIRECT(ADDRESS(MATCH(E1558,Код_КЦСР,0)+1,2,,,"КЦСР")))</f>
        <v>Модернизация региональных систем дошкольного образования за счет субсидии из федерального бюджета</v>
      </c>
      <c r="B1558" s="122">
        <v>811</v>
      </c>
      <c r="C1558" s="8" t="s">
        <v>203</v>
      </c>
      <c r="D1558" s="8" t="s">
        <v>227</v>
      </c>
      <c r="E1558" s="122" t="s">
        <v>654</v>
      </c>
      <c r="F1558" s="122"/>
      <c r="G1558" s="70"/>
      <c r="H1558" s="70"/>
      <c r="I1558" s="70"/>
      <c r="J1558" s="70"/>
      <c r="K1558" s="87"/>
      <c r="L1558" s="13"/>
      <c r="M1558" s="87"/>
      <c r="N1558" s="13"/>
      <c r="O1558" s="87"/>
      <c r="P1558" s="13"/>
      <c r="Q1558" s="87"/>
      <c r="R1558" s="13">
        <f>R1559</f>
        <v>215795.7</v>
      </c>
      <c r="S1558" s="87">
        <f t="shared" si="314"/>
        <v>215795.7</v>
      </c>
    </row>
    <row r="1559" spans="1:19" s="94" customFormat="1" ht="33">
      <c r="A1559" s="62" t="str">
        <f ca="1">IF(ISERROR(MATCH(F1559,Код_КВР,0)),"",INDIRECT(ADDRESS(MATCH(F1559,Код_КВР,0)+1,2,,,"КВР")))</f>
        <v>Капитальные вложения в объекты недвижимого имущества муниципальной собственности</v>
      </c>
      <c r="B1559" s="122">
        <v>811</v>
      </c>
      <c r="C1559" s="8" t="s">
        <v>203</v>
      </c>
      <c r="D1559" s="8" t="s">
        <v>227</v>
      </c>
      <c r="E1559" s="122" t="s">
        <v>654</v>
      </c>
      <c r="F1559" s="122">
        <v>400</v>
      </c>
      <c r="G1559" s="70"/>
      <c r="H1559" s="70"/>
      <c r="I1559" s="70"/>
      <c r="J1559" s="70"/>
      <c r="K1559" s="87"/>
      <c r="L1559" s="13"/>
      <c r="M1559" s="87"/>
      <c r="N1559" s="13"/>
      <c r="O1559" s="87"/>
      <c r="P1559" s="13"/>
      <c r="Q1559" s="87"/>
      <c r="R1559" s="13">
        <f>R1560</f>
        <v>215795.7</v>
      </c>
      <c r="S1559" s="87">
        <f t="shared" si="314"/>
        <v>215795.7</v>
      </c>
    </row>
    <row r="1560" spans="1:19" s="94" customFormat="1" ht="12.75">
      <c r="A1560" s="62" t="str">
        <f ca="1">IF(ISERROR(MATCH(F1560,Код_КВР,0)),"",INDIRECT(ADDRESS(MATCH(F1560,Код_КВР,0)+1,2,,,"КВР")))</f>
        <v>Бюджетные инвестиции</v>
      </c>
      <c r="B1560" s="122">
        <v>811</v>
      </c>
      <c r="C1560" s="8" t="s">
        <v>203</v>
      </c>
      <c r="D1560" s="8" t="s">
        <v>227</v>
      </c>
      <c r="E1560" s="122" t="s">
        <v>654</v>
      </c>
      <c r="F1560" s="122">
        <v>410</v>
      </c>
      <c r="G1560" s="70"/>
      <c r="H1560" s="70"/>
      <c r="I1560" s="70"/>
      <c r="J1560" s="70"/>
      <c r="K1560" s="87"/>
      <c r="L1560" s="13"/>
      <c r="M1560" s="87"/>
      <c r="N1560" s="13"/>
      <c r="O1560" s="87"/>
      <c r="P1560" s="13"/>
      <c r="Q1560" s="87"/>
      <c r="R1560" s="13">
        <f>R1561</f>
        <v>215795.7</v>
      </c>
      <c r="S1560" s="87">
        <f t="shared" si="314"/>
        <v>215795.7</v>
      </c>
    </row>
    <row r="1561" spans="1:19" s="94" customFormat="1" ht="33">
      <c r="A1561" s="62" t="str">
        <f ca="1">IF(ISERROR(MATCH(F1561,Код_КВР,0)),"",INDIRECT(ADDRESS(MATCH(F1561,Код_КВР,0)+1,2,,,"КВР")))</f>
        <v>Бюджетные инвестиции в объекты капитального строительства муниципальной собственности</v>
      </c>
      <c r="B1561" s="122">
        <v>811</v>
      </c>
      <c r="C1561" s="8" t="s">
        <v>203</v>
      </c>
      <c r="D1561" s="8" t="s">
        <v>227</v>
      </c>
      <c r="E1561" s="122" t="s">
        <v>654</v>
      </c>
      <c r="F1561" s="122">
        <v>414</v>
      </c>
      <c r="G1561" s="70"/>
      <c r="H1561" s="70"/>
      <c r="I1561" s="70"/>
      <c r="J1561" s="70"/>
      <c r="K1561" s="87"/>
      <c r="L1561" s="13"/>
      <c r="M1561" s="87"/>
      <c r="N1561" s="13"/>
      <c r="O1561" s="87"/>
      <c r="P1561" s="13"/>
      <c r="Q1561" s="87"/>
      <c r="R1561" s="13">
        <v>215795.7</v>
      </c>
      <c r="S1561" s="87">
        <f t="shared" si="314"/>
        <v>215795.7</v>
      </c>
    </row>
    <row r="1562" spans="1:19" ht="12.75">
      <c r="A1562" s="62" t="str">
        <f ca="1">IF(ISERROR(MATCH(C1562,Код_Раздел,0)),"",INDIRECT(ADDRESS(MATCH(C1562,Код_Раздел,0)+1,2,,,"Раздел")))</f>
        <v>Культура, кинематография</v>
      </c>
      <c r="B1562" s="115">
        <v>811</v>
      </c>
      <c r="C1562" s="8" t="s">
        <v>230</v>
      </c>
      <c r="D1562" s="8"/>
      <c r="E1562" s="115"/>
      <c r="F1562" s="115"/>
      <c r="G1562" s="70"/>
      <c r="H1562" s="70"/>
      <c r="I1562" s="70"/>
      <c r="J1562" s="70"/>
      <c r="K1562" s="87"/>
      <c r="L1562" s="13">
        <f aca="true" t="shared" si="324" ref="L1562:R1567">L1563</f>
        <v>1712.9</v>
      </c>
      <c r="M1562" s="87">
        <f t="shared" si="311"/>
        <v>1712.9</v>
      </c>
      <c r="N1562" s="13">
        <f t="shared" si="324"/>
        <v>0</v>
      </c>
      <c r="O1562" s="87">
        <f t="shared" si="312"/>
        <v>1712.9</v>
      </c>
      <c r="P1562" s="13">
        <f t="shared" si="324"/>
        <v>0</v>
      </c>
      <c r="Q1562" s="87">
        <f t="shared" si="318"/>
        <v>1712.9</v>
      </c>
      <c r="R1562" s="13">
        <f>R1563+R1569</f>
        <v>5719.1</v>
      </c>
      <c r="S1562" s="87">
        <f t="shared" si="314"/>
        <v>7432</v>
      </c>
    </row>
    <row r="1563" spans="1:19" ht="12.75">
      <c r="A1563" s="12" t="s">
        <v>192</v>
      </c>
      <c r="B1563" s="115">
        <v>811</v>
      </c>
      <c r="C1563" s="8" t="s">
        <v>230</v>
      </c>
      <c r="D1563" s="8" t="s">
        <v>221</v>
      </c>
      <c r="E1563" s="115"/>
      <c r="F1563" s="115"/>
      <c r="G1563" s="70"/>
      <c r="H1563" s="70"/>
      <c r="I1563" s="70"/>
      <c r="J1563" s="70"/>
      <c r="K1563" s="87"/>
      <c r="L1563" s="13">
        <f t="shared" si="324"/>
        <v>1712.9</v>
      </c>
      <c r="M1563" s="87">
        <f t="shared" si="311"/>
        <v>1712.9</v>
      </c>
      <c r="N1563" s="13">
        <f t="shared" si="324"/>
        <v>0</v>
      </c>
      <c r="O1563" s="87">
        <f t="shared" si="312"/>
        <v>1712.9</v>
      </c>
      <c r="P1563" s="13">
        <f t="shared" si="324"/>
        <v>0</v>
      </c>
      <c r="Q1563" s="87">
        <f t="shared" si="318"/>
        <v>1712.9</v>
      </c>
      <c r="R1563" s="13">
        <f t="shared" si="324"/>
        <v>0</v>
      </c>
      <c r="S1563" s="87">
        <f t="shared" si="314"/>
        <v>1712.9</v>
      </c>
    </row>
    <row r="1564" spans="1:19" ht="49.5">
      <c r="A1564" s="62" t="str">
        <f ca="1">IF(ISERROR(MATCH(E1564,Код_КЦСР,0)),"",INDIRECT(ADDRESS(MATCH(E1564,Код_КЦСР,0)+1,2,,,"КЦСР")))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64" s="115">
        <v>811</v>
      </c>
      <c r="C1564" s="8" t="s">
        <v>230</v>
      </c>
      <c r="D1564" s="8" t="s">
        <v>221</v>
      </c>
      <c r="E1564" s="115" t="s">
        <v>70</v>
      </c>
      <c r="F1564" s="115"/>
      <c r="G1564" s="70"/>
      <c r="H1564" s="70"/>
      <c r="I1564" s="70"/>
      <c r="J1564" s="70"/>
      <c r="K1564" s="87"/>
      <c r="L1564" s="13">
        <f t="shared" si="324"/>
        <v>1712.9</v>
      </c>
      <c r="M1564" s="87">
        <f t="shared" si="311"/>
        <v>1712.9</v>
      </c>
      <c r="N1564" s="13">
        <f t="shared" si="324"/>
        <v>0</v>
      </c>
      <c r="O1564" s="87">
        <f t="shared" si="312"/>
        <v>1712.9</v>
      </c>
      <c r="P1564" s="13">
        <f t="shared" si="324"/>
        <v>0</v>
      </c>
      <c r="Q1564" s="87">
        <f t="shared" si="318"/>
        <v>1712.9</v>
      </c>
      <c r="R1564" s="13">
        <f t="shared" si="324"/>
        <v>0</v>
      </c>
      <c r="S1564" s="87">
        <f t="shared" si="314"/>
        <v>1712.9</v>
      </c>
    </row>
    <row r="1565" spans="1:19" ht="12.75">
      <c r="A1565" s="62" t="str">
        <f ca="1">IF(ISERROR(MATCH(E1565,Код_КЦСР,0)),"",INDIRECT(ADDRESS(MATCH(E1565,Код_КЦСР,0)+1,2,,,"КЦСР")))</f>
        <v>Капитальный ремонт  объектов муниципальной собственности</v>
      </c>
      <c r="B1565" s="115">
        <v>811</v>
      </c>
      <c r="C1565" s="8" t="s">
        <v>230</v>
      </c>
      <c r="D1565" s="8" t="s">
        <v>221</v>
      </c>
      <c r="E1565" s="115" t="s">
        <v>78</v>
      </c>
      <c r="F1565" s="115"/>
      <c r="G1565" s="70"/>
      <c r="H1565" s="70"/>
      <c r="I1565" s="70"/>
      <c r="J1565" s="70"/>
      <c r="K1565" s="87"/>
      <c r="L1565" s="13">
        <f t="shared" si="324"/>
        <v>1712.9</v>
      </c>
      <c r="M1565" s="87">
        <f t="shared" si="311"/>
        <v>1712.9</v>
      </c>
      <c r="N1565" s="13">
        <f t="shared" si="324"/>
        <v>0</v>
      </c>
      <c r="O1565" s="87">
        <f t="shared" si="312"/>
        <v>1712.9</v>
      </c>
      <c r="P1565" s="13">
        <f t="shared" si="324"/>
        <v>0</v>
      </c>
      <c r="Q1565" s="87">
        <f t="shared" si="318"/>
        <v>1712.9</v>
      </c>
      <c r="R1565" s="13">
        <f t="shared" si="324"/>
        <v>0</v>
      </c>
      <c r="S1565" s="87">
        <f t="shared" si="314"/>
        <v>1712.9</v>
      </c>
    </row>
    <row r="1566" spans="1:19" ht="12.75">
      <c r="A1566" s="62" t="str">
        <f ca="1">IF(ISERROR(MATCH(F1566,Код_КВР,0)),"",INDIRECT(ADDRESS(MATCH(F1566,Код_КВР,0)+1,2,,,"КВР")))</f>
        <v>Закупка товаров, работ и услуг для муниципальных нужд</v>
      </c>
      <c r="B1566" s="115">
        <v>811</v>
      </c>
      <c r="C1566" s="8" t="s">
        <v>230</v>
      </c>
      <c r="D1566" s="8" t="s">
        <v>221</v>
      </c>
      <c r="E1566" s="115" t="s">
        <v>78</v>
      </c>
      <c r="F1566" s="115">
        <v>200</v>
      </c>
      <c r="G1566" s="70"/>
      <c r="H1566" s="70"/>
      <c r="I1566" s="70"/>
      <c r="J1566" s="70"/>
      <c r="K1566" s="87"/>
      <c r="L1566" s="13">
        <f t="shared" si="324"/>
        <v>1712.9</v>
      </c>
      <c r="M1566" s="87">
        <f t="shared" si="311"/>
        <v>1712.9</v>
      </c>
      <c r="N1566" s="13">
        <f t="shared" si="324"/>
        <v>0</v>
      </c>
      <c r="O1566" s="87">
        <f t="shared" si="312"/>
        <v>1712.9</v>
      </c>
      <c r="P1566" s="13">
        <f t="shared" si="324"/>
        <v>0</v>
      </c>
      <c r="Q1566" s="87">
        <f t="shared" si="318"/>
        <v>1712.9</v>
      </c>
      <c r="R1566" s="13">
        <f t="shared" si="324"/>
        <v>0</v>
      </c>
      <c r="S1566" s="87">
        <f t="shared" si="314"/>
        <v>1712.9</v>
      </c>
    </row>
    <row r="1567" spans="1:19" ht="33">
      <c r="A1567" s="62" t="str">
        <f ca="1">IF(ISERROR(MATCH(F1567,Код_КВР,0)),"",INDIRECT(ADDRESS(MATCH(F1567,Код_КВР,0)+1,2,,,"КВР")))</f>
        <v>Иные закупки товаров, работ и услуг для обеспечения муниципальных нужд</v>
      </c>
      <c r="B1567" s="115">
        <v>811</v>
      </c>
      <c r="C1567" s="8" t="s">
        <v>230</v>
      </c>
      <c r="D1567" s="8" t="s">
        <v>221</v>
      </c>
      <c r="E1567" s="115" t="s">
        <v>78</v>
      </c>
      <c r="F1567" s="115">
        <v>240</v>
      </c>
      <c r="G1567" s="70"/>
      <c r="H1567" s="70"/>
      <c r="I1567" s="70"/>
      <c r="J1567" s="70"/>
      <c r="K1567" s="87"/>
      <c r="L1567" s="13">
        <f t="shared" si="324"/>
        <v>1712.9</v>
      </c>
      <c r="M1567" s="87">
        <f t="shared" si="311"/>
        <v>1712.9</v>
      </c>
      <c r="N1567" s="13">
        <f t="shared" si="324"/>
        <v>0</v>
      </c>
      <c r="O1567" s="87">
        <f t="shared" si="312"/>
        <v>1712.9</v>
      </c>
      <c r="P1567" s="13">
        <f t="shared" si="324"/>
        <v>0</v>
      </c>
      <c r="Q1567" s="87">
        <f t="shared" si="318"/>
        <v>1712.9</v>
      </c>
      <c r="R1567" s="13">
        <f t="shared" si="324"/>
        <v>0</v>
      </c>
      <c r="S1567" s="87">
        <f t="shared" si="314"/>
        <v>1712.9</v>
      </c>
    </row>
    <row r="1568" spans="1:19" ht="33.75" customHeight="1">
      <c r="A1568" s="62" t="str">
        <f ca="1">IF(ISERROR(MATCH(F1568,Код_КВР,0)),"",INDIRECT(ADDRESS(MATCH(F1568,Код_КВР,0)+1,2,,,"КВР")))</f>
        <v>Закупка товаров, работ, услуг в целях капитального ремонта муниципального имущества</v>
      </c>
      <c r="B1568" s="115">
        <v>811</v>
      </c>
      <c r="C1568" s="8" t="s">
        <v>230</v>
      </c>
      <c r="D1568" s="8" t="s">
        <v>221</v>
      </c>
      <c r="E1568" s="115" t="s">
        <v>78</v>
      </c>
      <c r="F1568" s="115">
        <v>243</v>
      </c>
      <c r="G1568" s="70"/>
      <c r="H1568" s="70"/>
      <c r="I1568" s="70"/>
      <c r="J1568" s="70"/>
      <c r="K1568" s="87"/>
      <c r="L1568" s="13">
        <v>1712.9</v>
      </c>
      <c r="M1568" s="87">
        <f t="shared" si="311"/>
        <v>1712.9</v>
      </c>
      <c r="N1568" s="13"/>
      <c r="O1568" s="87">
        <f t="shared" si="312"/>
        <v>1712.9</v>
      </c>
      <c r="P1568" s="13"/>
      <c r="Q1568" s="87">
        <f t="shared" si="318"/>
        <v>1712.9</v>
      </c>
      <c r="R1568" s="13"/>
      <c r="S1568" s="87">
        <f t="shared" si="314"/>
        <v>1712.9</v>
      </c>
    </row>
    <row r="1569" spans="1:19" s="94" customFormat="1" ht="20.25" customHeight="1">
      <c r="A1569" s="12" t="s">
        <v>171</v>
      </c>
      <c r="B1569" s="129">
        <v>811</v>
      </c>
      <c r="C1569" s="8" t="s">
        <v>230</v>
      </c>
      <c r="D1569" s="8" t="s">
        <v>224</v>
      </c>
      <c r="E1569" s="129"/>
      <c r="F1569" s="129"/>
      <c r="G1569" s="70"/>
      <c r="H1569" s="70"/>
      <c r="I1569" s="70"/>
      <c r="J1569" s="70"/>
      <c r="K1569" s="87"/>
      <c r="L1569" s="13"/>
      <c r="M1569" s="87"/>
      <c r="N1569" s="13"/>
      <c r="O1569" s="87"/>
      <c r="P1569" s="13"/>
      <c r="Q1569" s="87"/>
      <c r="R1569" s="13">
        <f>R1570</f>
        <v>5719.1</v>
      </c>
      <c r="S1569" s="87">
        <f t="shared" si="314"/>
        <v>5719.1</v>
      </c>
    </row>
    <row r="1570" spans="1:19" s="94" customFormat="1" ht="51" customHeight="1">
      <c r="A1570" s="62" t="str">
        <f ca="1">IF(ISERROR(MATCH(E1570,Код_КЦСР,0)),"",INDIRECT(ADDRESS(MATCH(E1570,Код_КЦСР,0)+1,2,,,"КЦСР")))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70" s="129">
        <v>811</v>
      </c>
      <c r="C1570" s="8" t="s">
        <v>230</v>
      </c>
      <c r="D1570" s="8" t="s">
        <v>224</v>
      </c>
      <c r="E1570" s="129" t="s">
        <v>70</v>
      </c>
      <c r="F1570" s="129"/>
      <c r="G1570" s="70"/>
      <c r="H1570" s="70"/>
      <c r="I1570" s="70"/>
      <c r="J1570" s="70"/>
      <c r="K1570" s="87"/>
      <c r="L1570" s="13"/>
      <c r="M1570" s="87"/>
      <c r="N1570" s="13"/>
      <c r="O1570" s="87"/>
      <c r="P1570" s="13"/>
      <c r="Q1570" s="87"/>
      <c r="R1570" s="13">
        <f>R1571</f>
        <v>5719.1</v>
      </c>
      <c r="S1570" s="87">
        <f t="shared" si="314"/>
        <v>5719.1</v>
      </c>
    </row>
    <row r="1571" spans="1:19" s="94" customFormat="1" ht="22.5" customHeight="1">
      <c r="A1571" s="62" t="str">
        <f ca="1">IF(ISERROR(MATCH(E1571,Код_КЦСР,0)),"",INDIRECT(ADDRESS(MATCH(E1571,Код_КЦСР,0)+1,2,,,"КЦСР")))</f>
        <v>Строительство объектов сметной стоимостью до 100 млн. рублей</v>
      </c>
      <c r="B1571" s="129">
        <v>811</v>
      </c>
      <c r="C1571" s="8" t="s">
        <v>230</v>
      </c>
      <c r="D1571" s="8" t="s">
        <v>224</v>
      </c>
      <c r="E1571" s="129" t="s">
        <v>73</v>
      </c>
      <c r="F1571" s="129"/>
      <c r="G1571" s="70"/>
      <c r="H1571" s="70"/>
      <c r="I1571" s="70"/>
      <c r="J1571" s="70"/>
      <c r="K1571" s="87"/>
      <c r="L1571" s="13"/>
      <c r="M1571" s="87"/>
      <c r="N1571" s="13"/>
      <c r="O1571" s="87"/>
      <c r="P1571" s="13"/>
      <c r="Q1571" s="87"/>
      <c r="R1571" s="13">
        <f>R1572</f>
        <v>5719.1</v>
      </c>
      <c r="S1571" s="87">
        <f t="shared" si="314"/>
        <v>5719.1</v>
      </c>
    </row>
    <row r="1572" spans="1:19" s="94" customFormat="1" ht="35.25" customHeight="1">
      <c r="A1572" s="62" t="str">
        <f ca="1">IF(ISERROR(MATCH(F1572,Код_КВР,0)),"",INDIRECT(ADDRESS(MATCH(F1572,Код_КВР,0)+1,2,,,"КВР")))</f>
        <v>Капитальные вложения в объекты недвижимого имущества муниципальной собственности</v>
      </c>
      <c r="B1572" s="129">
        <v>811</v>
      </c>
      <c r="C1572" s="8" t="s">
        <v>230</v>
      </c>
      <c r="D1572" s="8" t="s">
        <v>224</v>
      </c>
      <c r="E1572" s="129" t="s">
        <v>73</v>
      </c>
      <c r="F1572" s="129">
        <v>400</v>
      </c>
      <c r="G1572" s="70"/>
      <c r="H1572" s="70"/>
      <c r="I1572" s="70"/>
      <c r="J1572" s="70"/>
      <c r="K1572" s="87"/>
      <c r="L1572" s="13"/>
      <c r="M1572" s="87"/>
      <c r="N1572" s="13"/>
      <c r="O1572" s="87"/>
      <c r="P1572" s="13"/>
      <c r="Q1572" s="87"/>
      <c r="R1572" s="13">
        <f>R1573</f>
        <v>5719.1</v>
      </c>
      <c r="S1572" s="87">
        <f t="shared" si="314"/>
        <v>5719.1</v>
      </c>
    </row>
    <row r="1573" spans="1:19" s="94" customFormat="1" ht="18.75" customHeight="1">
      <c r="A1573" s="62" t="str">
        <f ca="1">IF(ISERROR(MATCH(F1573,Код_КВР,0)),"",INDIRECT(ADDRESS(MATCH(F1573,Код_КВР,0)+1,2,,,"КВР")))</f>
        <v>Бюджетные инвестиции</v>
      </c>
      <c r="B1573" s="129">
        <v>811</v>
      </c>
      <c r="C1573" s="8" t="s">
        <v>230</v>
      </c>
      <c r="D1573" s="8" t="s">
        <v>224</v>
      </c>
      <c r="E1573" s="129" t="s">
        <v>73</v>
      </c>
      <c r="F1573" s="129">
        <v>410</v>
      </c>
      <c r="G1573" s="70"/>
      <c r="H1573" s="70"/>
      <c r="I1573" s="70"/>
      <c r="J1573" s="70"/>
      <c r="K1573" s="87"/>
      <c r="L1573" s="13"/>
      <c r="M1573" s="87"/>
      <c r="N1573" s="13"/>
      <c r="O1573" s="87"/>
      <c r="P1573" s="13"/>
      <c r="Q1573" s="87"/>
      <c r="R1573" s="13">
        <f>R1574</f>
        <v>5719.1</v>
      </c>
      <c r="S1573" s="87">
        <f t="shared" si="314"/>
        <v>5719.1</v>
      </c>
    </row>
    <row r="1574" spans="1:19" s="94" customFormat="1" ht="33.75" customHeight="1">
      <c r="A1574" s="62" t="str">
        <f ca="1">IF(ISERROR(MATCH(F1574,Код_КВР,0)),"",INDIRECT(ADDRESS(MATCH(F1574,Код_КВР,0)+1,2,,,"КВР")))</f>
        <v>Бюджетные инвестиции в объекты капитального строительства муниципальной собственности</v>
      </c>
      <c r="B1574" s="129">
        <v>811</v>
      </c>
      <c r="C1574" s="8" t="s">
        <v>230</v>
      </c>
      <c r="D1574" s="8" t="s">
        <v>224</v>
      </c>
      <c r="E1574" s="129" t="s">
        <v>73</v>
      </c>
      <c r="F1574" s="129">
        <v>414</v>
      </c>
      <c r="G1574" s="70"/>
      <c r="H1574" s="70"/>
      <c r="I1574" s="70"/>
      <c r="J1574" s="70"/>
      <c r="K1574" s="87"/>
      <c r="L1574" s="13"/>
      <c r="M1574" s="87"/>
      <c r="N1574" s="13"/>
      <c r="O1574" s="87"/>
      <c r="P1574" s="13"/>
      <c r="Q1574" s="87"/>
      <c r="R1574" s="13">
        <f>7374.2-3017.1+1362</f>
        <v>5719.1</v>
      </c>
      <c r="S1574" s="87">
        <f t="shared" si="314"/>
        <v>5719.1</v>
      </c>
    </row>
    <row r="1575" spans="1:19" ht="12.75">
      <c r="A1575" s="62" t="str">
        <f ca="1">IF(ISERROR(MATCH(C1575,Код_Раздел,0)),"",INDIRECT(ADDRESS(MATCH(C1575,Код_Раздел,0)+1,2,,,"Раздел")))</f>
        <v>Физическая культура и спорт</v>
      </c>
      <c r="B1575" s="115">
        <v>811</v>
      </c>
      <c r="C1575" s="8" t="s">
        <v>232</v>
      </c>
      <c r="D1575" s="8"/>
      <c r="E1575" s="115"/>
      <c r="F1575" s="115"/>
      <c r="G1575" s="70">
        <f aca="true" t="shared" si="325" ref="G1575:R1581">G1576</f>
        <v>10000</v>
      </c>
      <c r="H1575" s="70">
        <f t="shared" si="325"/>
        <v>0</v>
      </c>
      <c r="I1575" s="70">
        <f t="shared" si="322"/>
        <v>10000</v>
      </c>
      <c r="J1575" s="70">
        <f t="shared" si="325"/>
        <v>2813.9</v>
      </c>
      <c r="K1575" s="87">
        <f t="shared" si="317"/>
        <v>12813.9</v>
      </c>
      <c r="L1575" s="13">
        <f t="shared" si="325"/>
        <v>0</v>
      </c>
      <c r="M1575" s="87">
        <f t="shared" si="311"/>
        <v>12813.9</v>
      </c>
      <c r="N1575" s="13">
        <f t="shared" si="325"/>
        <v>0</v>
      </c>
      <c r="O1575" s="87">
        <f t="shared" si="312"/>
        <v>12813.9</v>
      </c>
      <c r="P1575" s="13">
        <f t="shared" si="325"/>
        <v>0</v>
      </c>
      <c r="Q1575" s="87">
        <f t="shared" si="318"/>
        <v>12813.9</v>
      </c>
      <c r="R1575" s="13">
        <f t="shared" si="325"/>
        <v>0</v>
      </c>
      <c r="S1575" s="87">
        <f t="shared" si="314"/>
        <v>12813.9</v>
      </c>
    </row>
    <row r="1576" spans="1:19" ht="12.75">
      <c r="A1576" s="12" t="s">
        <v>200</v>
      </c>
      <c r="B1576" s="115">
        <v>811</v>
      </c>
      <c r="C1576" s="8" t="s">
        <v>232</v>
      </c>
      <c r="D1576" s="8" t="s">
        <v>229</v>
      </c>
      <c r="E1576" s="115"/>
      <c r="F1576" s="115"/>
      <c r="G1576" s="70">
        <f t="shared" si="325"/>
        <v>10000</v>
      </c>
      <c r="H1576" s="70">
        <f t="shared" si="325"/>
        <v>0</v>
      </c>
      <c r="I1576" s="70">
        <f t="shared" si="322"/>
        <v>10000</v>
      </c>
      <c r="J1576" s="70">
        <f>J1577+J1583</f>
        <v>2813.9</v>
      </c>
      <c r="K1576" s="87">
        <f t="shared" si="317"/>
        <v>12813.9</v>
      </c>
      <c r="L1576" s="13">
        <f>L1577+L1583</f>
        <v>0</v>
      </c>
      <c r="M1576" s="87">
        <f t="shared" si="311"/>
        <v>12813.9</v>
      </c>
      <c r="N1576" s="13">
        <f>N1577+N1583</f>
        <v>0</v>
      </c>
      <c r="O1576" s="87">
        <f t="shared" si="312"/>
        <v>12813.9</v>
      </c>
      <c r="P1576" s="13">
        <f>P1577+P1583</f>
        <v>0</v>
      </c>
      <c r="Q1576" s="87">
        <f t="shared" si="318"/>
        <v>12813.9</v>
      </c>
      <c r="R1576" s="13">
        <f>R1577+R1583</f>
        <v>0</v>
      </c>
      <c r="S1576" s="87">
        <f t="shared" si="314"/>
        <v>12813.9</v>
      </c>
    </row>
    <row r="1577" spans="1:19" ht="49.5">
      <c r="A1577" s="62" t="str">
        <f ca="1">IF(ISERROR(MATCH(E1577,Код_КЦСР,0)),"",INDIRECT(ADDRESS(MATCH(E1577,Код_КЦСР,0)+1,2,,,"КЦСР")))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577" s="115">
        <v>811</v>
      </c>
      <c r="C1577" s="8" t="s">
        <v>232</v>
      </c>
      <c r="D1577" s="8" t="s">
        <v>229</v>
      </c>
      <c r="E1577" s="115" t="s">
        <v>70</v>
      </c>
      <c r="F1577" s="115"/>
      <c r="G1577" s="70">
        <f t="shared" si="325"/>
        <v>10000</v>
      </c>
      <c r="H1577" s="70">
        <f t="shared" si="325"/>
        <v>0</v>
      </c>
      <c r="I1577" s="70">
        <f t="shared" si="322"/>
        <v>10000</v>
      </c>
      <c r="J1577" s="70">
        <f t="shared" si="325"/>
        <v>0</v>
      </c>
      <c r="K1577" s="87">
        <f t="shared" si="317"/>
        <v>10000</v>
      </c>
      <c r="L1577" s="13">
        <f t="shared" si="325"/>
        <v>0</v>
      </c>
      <c r="M1577" s="87">
        <f t="shared" si="311"/>
        <v>10000</v>
      </c>
      <c r="N1577" s="13">
        <f t="shared" si="325"/>
        <v>0</v>
      </c>
      <c r="O1577" s="87">
        <f t="shared" si="312"/>
        <v>10000</v>
      </c>
      <c r="P1577" s="13">
        <f t="shared" si="325"/>
        <v>0</v>
      </c>
      <c r="Q1577" s="87">
        <f t="shared" si="318"/>
        <v>10000</v>
      </c>
      <c r="R1577" s="13">
        <f t="shared" si="325"/>
        <v>0</v>
      </c>
      <c r="S1577" s="87">
        <f t="shared" si="314"/>
        <v>10000</v>
      </c>
    </row>
    <row r="1578" spans="1:19" ht="33">
      <c r="A1578" s="62" t="str">
        <f ca="1">IF(ISERROR(MATCH(E1578,Код_КЦСР,0)),"",INDIRECT(ADDRESS(MATCH(E1578,Код_КЦСР,0)+1,2,,,"КЦСР")))</f>
        <v>Капитальное строительство и реконструкция объектов муниципальной собственности</v>
      </c>
      <c r="B1578" s="115">
        <v>811</v>
      </c>
      <c r="C1578" s="8" t="s">
        <v>232</v>
      </c>
      <c r="D1578" s="8" t="s">
        <v>229</v>
      </c>
      <c r="E1578" s="115" t="s">
        <v>72</v>
      </c>
      <c r="F1578" s="115"/>
      <c r="G1578" s="70">
        <f t="shared" si="325"/>
        <v>10000</v>
      </c>
      <c r="H1578" s="70">
        <f t="shared" si="325"/>
        <v>0</v>
      </c>
      <c r="I1578" s="70">
        <f t="shared" si="322"/>
        <v>10000</v>
      </c>
      <c r="J1578" s="70">
        <f t="shared" si="325"/>
        <v>0</v>
      </c>
      <c r="K1578" s="87">
        <f t="shared" si="317"/>
        <v>10000</v>
      </c>
      <c r="L1578" s="13">
        <f t="shared" si="325"/>
        <v>0</v>
      </c>
      <c r="M1578" s="87">
        <f t="shared" si="311"/>
        <v>10000</v>
      </c>
      <c r="N1578" s="13">
        <f t="shared" si="325"/>
        <v>0</v>
      </c>
      <c r="O1578" s="87">
        <f t="shared" si="312"/>
        <v>10000</v>
      </c>
      <c r="P1578" s="13">
        <f t="shared" si="325"/>
        <v>0</v>
      </c>
      <c r="Q1578" s="87">
        <f t="shared" si="318"/>
        <v>10000</v>
      </c>
      <c r="R1578" s="13">
        <f t="shared" si="325"/>
        <v>0</v>
      </c>
      <c r="S1578" s="87">
        <f t="shared" si="314"/>
        <v>10000</v>
      </c>
    </row>
    <row r="1579" spans="1:19" ht="12.75">
      <c r="A1579" s="62" t="str">
        <f ca="1">IF(ISERROR(MATCH(E1579,Код_КЦСР,0)),"",INDIRECT(ADDRESS(MATCH(E1579,Код_КЦСР,0)+1,2,,,"КЦСР")))</f>
        <v>Строительство объектов сметной стоимостью до 100 млн. рублей</v>
      </c>
      <c r="B1579" s="115">
        <v>811</v>
      </c>
      <c r="C1579" s="8" t="s">
        <v>232</v>
      </c>
      <c r="D1579" s="8" t="s">
        <v>229</v>
      </c>
      <c r="E1579" s="115" t="s">
        <v>73</v>
      </c>
      <c r="F1579" s="115"/>
      <c r="G1579" s="70">
        <f t="shared" si="325"/>
        <v>10000</v>
      </c>
      <c r="H1579" s="70">
        <f t="shared" si="325"/>
        <v>0</v>
      </c>
      <c r="I1579" s="70">
        <f t="shared" si="322"/>
        <v>10000</v>
      </c>
      <c r="J1579" s="70">
        <f t="shared" si="325"/>
        <v>0</v>
      </c>
      <c r="K1579" s="87">
        <f t="shared" si="317"/>
        <v>10000</v>
      </c>
      <c r="L1579" s="13">
        <f t="shared" si="325"/>
        <v>0</v>
      </c>
      <c r="M1579" s="87">
        <f t="shared" si="311"/>
        <v>10000</v>
      </c>
      <c r="N1579" s="13">
        <f t="shared" si="325"/>
        <v>0</v>
      </c>
      <c r="O1579" s="87">
        <f t="shared" si="312"/>
        <v>10000</v>
      </c>
      <c r="P1579" s="13">
        <f t="shared" si="325"/>
        <v>0</v>
      </c>
      <c r="Q1579" s="87">
        <f t="shared" si="318"/>
        <v>10000</v>
      </c>
      <c r="R1579" s="13">
        <f t="shared" si="325"/>
        <v>0</v>
      </c>
      <c r="S1579" s="87">
        <f t="shared" si="314"/>
        <v>10000</v>
      </c>
    </row>
    <row r="1580" spans="1:19" ht="33">
      <c r="A1580" s="62" t="str">
        <f ca="1">IF(ISERROR(MATCH(F1580,Код_КВР,0)),"",INDIRECT(ADDRESS(MATCH(F1580,Код_КВР,0)+1,2,,,"КВР")))</f>
        <v>Капитальные вложения в объекты недвижимого имущества муниципальной собственности</v>
      </c>
      <c r="B1580" s="115">
        <v>811</v>
      </c>
      <c r="C1580" s="8" t="s">
        <v>232</v>
      </c>
      <c r="D1580" s="8" t="s">
        <v>229</v>
      </c>
      <c r="E1580" s="115" t="s">
        <v>73</v>
      </c>
      <c r="F1580" s="115">
        <v>400</v>
      </c>
      <c r="G1580" s="70">
        <f t="shared" si="325"/>
        <v>10000</v>
      </c>
      <c r="H1580" s="70">
        <f t="shared" si="325"/>
        <v>0</v>
      </c>
      <c r="I1580" s="70">
        <f t="shared" si="322"/>
        <v>10000</v>
      </c>
      <c r="J1580" s="70">
        <f t="shared" si="325"/>
        <v>0</v>
      </c>
      <c r="K1580" s="87">
        <f t="shared" si="317"/>
        <v>10000</v>
      </c>
      <c r="L1580" s="13">
        <f t="shared" si="325"/>
        <v>0</v>
      </c>
      <c r="M1580" s="87">
        <f t="shared" si="311"/>
        <v>10000</v>
      </c>
      <c r="N1580" s="13">
        <f t="shared" si="325"/>
        <v>0</v>
      </c>
      <c r="O1580" s="87">
        <f t="shared" si="312"/>
        <v>10000</v>
      </c>
      <c r="P1580" s="13">
        <f t="shared" si="325"/>
        <v>0</v>
      </c>
      <c r="Q1580" s="87">
        <f t="shared" si="318"/>
        <v>10000</v>
      </c>
      <c r="R1580" s="13">
        <f t="shared" si="325"/>
        <v>0</v>
      </c>
      <c r="S1580" s="87">
        <f t="shared" si="314"/>
        <v>10000</v>
      </c>
    </row>
    <row r="1581" spans="1:19" ht="12.75">
      <c r="A1581" s="62" t="str">
        <f ca="1">IF(ISERROR(MATCH(F1581,Код_КВР,0)),"",INDIRECT(ADDRESS(MATCH(F1581,Код_КВР,0)+1,2,,,"КВР")))</f>
        <v>Бюджетные инвестиции</v>
      </c>
      <c r="B1581" s="115">
        <v>811</v>
      </c>
      <c r="C1581" s="8" t="s">
        <v>232</v>
      </c>
      <c r="D1581" s="8" t="s">
        <v>229</v>
      </c>
      <c r="E1581" s="115" t="s">
        <v>73</v>
      </c>
      <c r="F1581" s="115">
        <v>410</v>
      </c>
      <c r="G1581" s="70">
        <f t="shared" si="325"/>
        <v>10000</v>
      </c>
      <c r="H1581" s="70">
        <f t="shared" si="325"/>
        <v>0</v>
      </c>
      <c r="I1581" s="70">
        <f t="shared" si="322"/>
        <v>10000</v>
      </c>
      <c r="J1581" s="70">
        <f t="shared" si="325"/>
        <v>0</v>
      </c>
      <c r="K1581" s="87">
        <f t="shared" si="317"/>
        <v>10000</v>
      </c>
      <c r="L1581" s="13">
        <f t="shared" si="325"/>
        <v>0</v>
      </c>
      <c r="M1581" s="87">
        <f t="shared" si="311"/>
        <v>10000</v>
      </c>
      <c r="N1581" s="13">
        <f t="shared" si="325"/>
        <v>0</v>
      </c>
      <c r="O1581" s="87">
        <f t="shared" si="312"/>
        <v>10000</v>
      </c>
      <c r="P1581" s="13">
        <f t="shared" si="325"/>
        <v>0</v>
      </c>
      <c r="Q1581" s="87">
        <f t="shared" si="318"/>
        <v>10000</v>
      </c>
      <c r="R1581" s="13">
        <f t="shared" si="325"/>
        <v>0</v>
      </c>
      <c r="S1581" s="87">
        <f t="shared" si="314"/>
        <v>10000</v>
      </c>
    </row>
    <row r="1582" spans="1:19" ht="33">
      <c r="A1582" s="62" t="str">
        <f ca="1">IF(ISERROR(MATCH(F1582,Код_КВР,0)),"",INDIRECT(ADDRESS(MATCH(F1582,Код_КВР,0)+1,2,,,"КВР")))</f>
        <v>Бюджетные инвестиции в объекты капитального строительства муниципальной собственности</v>
      </c>
      <c r="B1582" s="115">
        <v>811</v>
      </c>
      <c r="C1582" s="8" t="s">
        <v>232</v>
      </c>
      <c r="D1582" s="8" t="s">
        <v>229</v>
      </c>
      <c r="E1582" s="115" t="s">
        <v>73</v>
      </c>
      <c r="F1582" s="115">
        <v>414</v>
      </c>
      <c r="G1582" s="70">
        <v>10000</v>
      </c>
      <c r="H1582" s="70"/>
      <c r="I1582" s="70">
        <f t="shared" si="322"/>
        <v>10000</v>
      </c>
      <c r="J1582" s="70"/>
      <c r="K1582" s="87">
        <f t="shared" si="317"/>
        <v>10000</v>
      </c>
      <c r="L1582" s="13"/>
      <c r="M1582" s="87">
        <f t="shared" si="311"/>
        <v>10000</v>
      </c>
      <c r="N1582" s="13"/>
      <c r="O1582" s="87">
        <f t="shared" si="312"/>
        <v>10000</v>
      </c>
      <c r="P1582" s="13"/>
      <c r="Q1582" s="87">
        <f t="shared" si="318"/>
        <v>10000</v>
      </c>
      <c r="R1582" s="13"/>
      <c r="S1582" s="87">
        <f t="shared" si="314"/>
        <v>10000</v>
      </c>
    </row>
    <row r="1583" spans="1:19" ht="33">
      <c r="A1583" s="62" t="str">
        <f ca="1">IF(ISERROR(MATCH(E1583,Код_КЦСР,0)),"",INDIRECT(ADDRESS(MATCH(E1583,Код_КЦСР,0)+1,2,,,"КЦСР")))</f>
        <v>Непрограммные направления деятельности органов местного самоуправления</v>
      </c>
      <c r="B1583" s="115">
        <v>811</v>
      </c>
      <c r="C1583" s="8" t="s">
        <v>232</v>
      </c>
      <c r="D1583" s="8" t="s">
        <v>229</v>
      </c>
      <c r="E1583" s="115" t="s">
        <v>307</v>
      </c>
      <c r="F1583" s="115"/>
      <c r="G1583" s="70"/>
      <c r="H1583" s="70"/>
      <c r="I1583" s="70"/>
      <c r="J1583" s="70">
        <f>J1584</f>
        <v>2813.9</v>
      </c>
      <c r="K1583" s="87">
        <f t="shared" si="317"/>
        <v>2813.9</v>
      </c>
      <c r="L1583" s="13">
        <f>L1584</f>
        <v>0</v>
      </c>
      <c r="M1583" s="87">
        <f t="shared" si="311"/>
        <v>2813.9</v>
      </c>
      <c r="N1583" s="13">
        <f>N1584</f>
        <v>0</v>
      </c>
      <c r="O1583" s="87">
        <f t="shared" si="312"/>
        <v>2813.9</v>
      </c>
      <c r="P1583" s="13">
        <f>P1584</f>
        <v>0</v>
      </c>
      <c r="Q1583" s="87">
        <f t="shared" si="318"/>
        <v>2813.9</v>
      </c>
      <c r="R1583" s="13">
        <f>R1584</f>
        <v>0</v>
      </c>
      <c r="S1583" s="87">
        <f t="shared" si="314"/>
        <v>2813.9</v>
      </c>
    </row>
    <row r="1584" spans="1:19" ht="12.75">
      <c r="A1584" s="62" t="str">
        <f ca="1">IF(ISERROR(MATCH(E1584,Код_КЦСР,0)),"",INDIRECT(ADDRESS(MATCH(E1584,Код_КЦСР,0)+1,2,,,"КЦСР")))</f>
        <v>Расходы, не включенные в муниципальные программы города Череповца</v>
      </c>
      <c r="B1584" s="115">
        <v>811</v>
      </c>
      <c r="C1584" s="8" t="s">
        <v>232</v>
      </c>
      <c r="D1584" s="8" t="s">
        <v>229</v>
      </c>
      <c r="E1584" s="115" t="s">
        <v>309</v>
      </c>
      <c r="F1584" s="115"/>
      <c r="G1584" s="70"/>
      <c r="H1584" s="70"/>
      <c r="I1584" s="70"/>
      <c r="J1584" s="70">
        <f>J1585</f>
        <v>2813.9</v>
      </c>
      <c r="K1584" s="87">
        <f t="shared" si="317"/>
        <v>2813.9</v>
      </c>
      <c r="L1584" s="13">
        <f>L1585</f>
        <v>0</v>
      </c>
      <c r="M1584" s="87">
        <f t="shared" si="311"/>
        <v>2813.9</v>
      </c>
      <c r="N1584" s="13">
        <f>N1585</f>
        <v>0</v>
      </c>
      <c r="O1584" s="87">
        <f t="shared" si="312"/>
        <v>2813.9</v>
      </c>
      <c r="P1584" s="13">
        <f>P1585</f>
        <v>0</v>
      </c>
      <c r="Q1584" s="87">
        <f t="shared" si="318"/>
        <v>2813.9</v>
      </c>
      <c r="R1584" s="13">
        <f>R1585</f>
        <v>0</v>
      </c>
      <c r="S1584" s="87">
        <f t="shared" si="314"/>
        <v>2813.9</v>
      </c>
    </row>
    <row r="1585" spans="1:19" ht="12.75">
      <c r="A1585" s="62" t="str">
        <f ca="1">IF(ISERROR(MATCH(E1585,Код_КЦСР,0)),"",INDIRECT(ADDRESS(MATCH(E1585,Код_КЦСР,0)+1,2,,,"КЦСР")))</f>
        <v>Кредиторская задолженность, сложившаяся по итогам 2013 года</v>
      </c>
      <c r="B1585" s="115">
        <v>811</v>
      </c>
      <c r="C1585" s="8" t="s">
        <v>232</v>
      </c>
      <c r="D1585" s="8" t="s">
        <v>229</v>
      </c>
      <c r="E1585" s="115" t="s">
        <v>379</v>
      </c>
      <c r="F1585" s="115"/>
      <c r="G1585" s="70"/>
      <c r="H1585" s="70"/>
      <c r="I1585" s="70"/>
      <c r="J1585" s="70">
        <f>J1586</f>
        <v>2813.9</v>
      </c>
      <c r="K1585" s="87">
        <f t="shared" si="317"/>
        <v>2813.9</v>
      </c>
      <c r="L1585" s="13">
        <f>L1586</f>
        <v>0</v>
      </c>
      <c r="M1585" s="87">
        <f t="shared" si="311"/>
        <v>2813.9</v>
      </c>
      <c r="N1585" s="13">
        <f>N1586</f>
        <v>0</v>
      </c>
      <c r="O1585" s="87">
        <f t="shared" si="312"/>
        <v>2813.9</v>
      </c>
      <c r="P1585" s="13">
        <f>P1586</f>
        <v>0</v>
      </c>
      <c r="Q1585" s="87">
        <f t="shared" si="318"/>
        <v>2813.9</v>
      </c>
      <c r="R1585" s="13">
        <f>R1586</f>
        <v>0</v>
      </c>
      <c r="S1585" s="87">
        <f t="shared" si="314"/>
        <v>2813.9</v>
      </c>
    </row>
    <row r="1586" spans="1:19" ht="33">
      <c r="A1586" s="62" t="str">
        <f ca="1">IF(ISERROR(MATCH(F1586,Код_КВР,0)),"",INDIRECT(ADDRESS(MATCH(F1586,Код_КВР,0)+1,2,,,"КВР")))</f>
        <v>Капитальные вложения в объекты недвижимого имущества муниципальной собственности</v>
      </c>
      <c r="B1586" s="115">
        <v>811</v>
      </c>
      <c r="C1586" s="8" t="s">
        <v>232</v>
      </c>
      <c r="D1586" s="8" t="s">
        <v>229</v>
      </c>
      <c r="E1586" s="115" t="s">
        <v>379</v>
      </c>
      <c r="F1586" s="115">
        <v>400</v>
      </c>
      <c r="G1586" s="70"/>
      <c r="H1586" s="70"/>
      <c r="I1586" s="70"/>
      <c r="J1586" s="70">
        <f>J1587</f>
        <v>2813.9</v>
      </c>
      <c r="K1586" s="87">
        <f t="shared" si="317"/>
        <v>2813.9</v>
      </c>
      <c r="L1586" s="13">
        <f>L1587</f>
        <v>0</v>
      </c>
      <c r="M1586" s="87">
        <f t="shared" si="311"/>
        <v>2813.9</v>
      </c>
      <c r="N1586" s="13">
        <f>N1587</f>
        <v>0</v>
      </c>
      <c r="O1586" s="87">
        <f t="shared" si="312"/>
        <v>2813.9</v>
      </c>
      <c r="P1586" s="13">
        <f>P1587</f>
        <v>0</v>
      </c>
      <c r="Q1586" s="87">
        <f t="shared" si="318"/>
        <v>2813.9</v>
      </c>
      <c r="R1586" s="13">
        <f>R1587</f>
        <v>0</v>
      </c>
      <c r="S1586" s="87">
        <f t="shared" si="314"/>
        <v>2813.9</v>
      </c>
    </row>
    <row r="1587" spans="1:19" ht="12.75">
      <c r="A1587" s="62" t="str">
        <f ca="1">IF(ISERROR(MATCH(F1587,Код_КВР,0)),"",INDIRECT(ADDRESS(MATCH(F1587,Код_КВР,0)+1,2,,,"КВР")))</f>
        <v>Бюджетные инвестиции</v>
      </c>
      <c r="B1587" s="115">
        <v>811</v>
      </c>
      <c r="C1587" s="8" t="s">
        <v>232</v>
      </c>
      <c r="D1587" s="8" t="s">
        <v>229</v>
      </c>
      <c r="E1587" s="115" t="s">
        <v>379</v>
      </c>
      <c r="F1587" s="115">
        <v>410</v>
      </c>
      <c r="G1587" s="70"/>
      <c r="H1587" s="70"/>
      <c r="I1587" s="70"/>
      <c r="J1587" s="70">
        <f>J1588</f>
        <v>2813.9</v>
      </c>
      <c r="K1587" s="87">
        <f t="shared" si="317"/>
        <v>2813.9</v>
      </c>
      <c r="L1587" s="13">
        <f>L1588</f>
        <v>0</v>
      </c>
      <c r="M1587" s="87">
        <f t="shared" si="311"/>
        <v>2813.9</v>
      </c>
      <c r="N1587" s="13">
        <f>N1588</f>
        <v>0</v>
      </c>
      <c r="O1587" s="87">
        <f t="shared" si="312"/>
        <v>2813.9</v>
      </c>
      <c r="P1587" s="13">
        <f>P1588</f>
        <v>0</v>
      </c>
      <c r="Q1587" s="87">
        <f t="shared" si="318"/>
        <v>2813.9</v>
      </c>
      <c r="R1587" s="13">
        <f>R1588</f>
        <v>0</v>
      </c>
      <c r="S1587" s="87">
        <f t="shared" si="314"/>
        <v>2813.9</v>
      </c>
    </row>
    <row r="1588" spans="1:19" ht="33">
      <c r="A1588" s="62" t="str">
        <f ca="1">IF(ISERROR(MATCH(F1588,Код_КВР,0)),"",INDIRECT(ADDRESS(MATCH(F1588,Код_КВР,0)+1,2,,,"КВР")))</f>
        <v>Бюджетные инвестиции в объекты капитального строительства муниципальной собственности</v>
      </c>
      <c r="B1588" s="115">
        <v>811</v>
      </c>
      <c r="C1588" s="8" t="s">
        <v>232</v>
      </c>
      <c r="D1588" s="8" t="s">
        <v>229</v>
      </c>
      <c r="E1588" s="115" t="s">
        <v>379</v>
      </c>
      <c r="F1588" s="115">
        <v>414</v>
      </c>
      <c r="G1588" s="70"/>
      <c r="H1588" s="70"/>
      <c r="I1588" s="70"/>
      <c r="J1588" s="70">
        <v>2813.9</v>
      </c>
      <c r="K1588" s="87">
        <f t="shared" si="317"/>
        <v>2813.9</v>
      </c>
      <c r="L1588" s="13"/>
      <c r="M1588" s="87">
        <f t="shared" si="311"/>
        <v>2813.9</v>
      </c>
      <c r="N1588" s="13"/>
      <c r="O1588" s="87">
        <f t="shared" si="312"/>
        <v>2813.9</v>
      </c>
      <c r="P1588" s="13"/>
      <c r="Q1588" s="87">
        <f t="shared" si="318"/>
        <v>2813.9</v>
      </c>
      <c r="R1588" s="13"/>
      <c r="S1588" s="87">
        <f t="shared" si="314"/>
        <v>2813.9</v>
      </c>
    </row>
    <row r="1589" spans="1:19" ht="12.75">
      <c r="A1589" s="62" t="str">
        <f ca="1">IF(ISERROR(MATCH(B1589,Код_ППП,0)),"",INDIRECT(ADDRESS(MATCH(B1589,Код_ППП,0)+1,2,,,"ППП")))</f>
        <v xml:space="preserve">КОНТРОЛЬНО-СЧЕТНАЯ ПАЛАТА ГОРОДА ЧЕРЕПОВЦА </v>
      </c>
      <c r="B1589" s="115">
        <v>812</v>
      </c>
      <c r="C1589" s="8"/>
      <c r="D1589" s="8"/>
      <c r="E1589" s="115"/>
      <c r="F1589" s="115"/>
      <c r="G1589" s="70"/>
      <c r="H1589" s="70"/>
      <c r="I1589" s="70"/>
      <c r="J1589" s="70">
        <f aca="true" t="shared" si="326" ref="J1589:R1594">J1590</f>
        <v>8199.9</v>
      </c>
      <c r="K1589" s="87">
        <f t="shared" si="317"/>
        <v>8199.9</v>
      </c>
      <c r="L1589" s="13">
        <f t="shared" si="326"/>
        <v>0</v>
      </c>
      <c r="M1589" s="87">
        <f t="shared" si="311"/>
        <v>8199.9</v>
      </c>
      <c r="N1589" s="13">
        <f t="shared" si="326"/>
        <v>0</v>
      </c>
      <c r="O1589" s="87">
        <f t="shared" si="312"/>
        <v>8199.9</v>
      </c>
      <c r="P1589" s="13">
        <f t="shared" si="326"/>
        <v>0</v>
      </c>
      <c r="Q1589" s="87">
        <f t="shared" si="318"/>
        <v>8199.9</v>
      </c>
      <c r="R1589" s="13">
        <f t="shared" si="326"/>
        <v>119.2</v>
      </c>
      <c r="S1589" s="87">
        <f t="shared" si="314"/>
        <v>8319.1</v>
      </c>
    </row>
    <row r="1590" spans="1:19" ht="12.75">
      <c r="A1590" s="62" t="str">
        <f ca="1">IF(ISERROR(MATCH(C1590,Код_Раздел,0)),"",INDIRECT(ADDRESS(MATCH(C1590,Код_Раздел,0)+1,2,,,"Раздел")))</f>
        <v>Общегосударственные  вопросы</v>
      </c>
      <c r="B1590" s="115">
        <v>812</v>
      </c>
      <c r="C1590" s="8" t="s">
        <v>221</v>
      </c>
      <c r="D1590" s="8"/>
      <c r="E1590" s="115"/>
      <c r="F1590" s="115"/>
      <c r="G1590" s="70"/>
      <c r="H1590" s="70"/>
      <c r="I1590" s="70"/>
      <c r="J1590" s="70">
        <f t="shared" si="326"/>
        <v>8199.9</v>
      </c>
      <c r="K1590" s="87">
        <f t="shared" si="317"/>
        <v>8199.9</v>
      </c>
      <c r="L1590" s="13">
        <f t="shared" si="326"/>
        <v>0</v>
      </c>
      <c r="M1590" s="87">
        <f t="shared" si="311"/>
        <v>8199.9</v>
      </c>
      <c r="N1590" s="13">
        <f t="shared" si="326"/>
        <v>0</v>
      </c>
      <c r="O1590" s="87">
        <f t="shared" si="312"/>
        <v>8199.9</v>
      </c>
      <c r="P1590" s="13">
        <f t="shared" si="326"/>
        <v>0</v>
      </c>
      <c r="Q1590" s="87">
        <f t="shared" si="318"/>
        <v>8199.9</v>
      </c>
      <c r="R1590" s="13">
        <f t="shared" si="326"/>
        <v>119.2</v>
      </c>
      <c r="S1590" s="87">
        <f t="shared" si="314"/>
        <v>8319.1</v>
      </c>
    </row>
    <row r="1591" spans="1:19" ht="33">
      <c r="A1591" s="12" t="s">
        <v>173</v>
      </c>
      <c r="B1591" s="115">
        <v>812</v>
      </c>
      <c r="C1591" s="8" t="s">
        <v>221</v>
      </c>
      <c r="D1591" s="8" t="s">
        <v>225</v>
      </c>
      <c r="E1591" s="115"/>
      <c r="F1591" s="115"/>
      <c r="G1591" s="70"/>
      <c r="H1591" s="70"/>
      <c r="I1591" s="70"/>
      <c r="J1591" s="70">
        <f t="shared" si="326"/>
        <v>8199.9</v>
      </c>
      <c r="K1591" s="87">
        <f t="shared" si="317"/>
        <v>8199.9</v>
      </c>
      <c r="L1591" s="13">
        <f t="shared" si="326"/>
        <v>0</v>
      </c>
      <c r="M1591" s="87">
        <f aca="true" t="shared" si="327" ref="M1591:M1633">K1591+L1591</f>
        <v>8199.9</v>
      </c>
      <c r="N1591" s="13">
        <f t="shared" si="326"/>
        <v>0</v>
      </c>
      <c r="O1591" s="87">
        <f aca="true" t="shared" si="328" ref="O1591:O1632">M1591+N1591</f>
        <v>8199.9</v>
      </c>
      <c r="P1591" s="13">
        <f t="shared" si="326"/>
        <v>0</v>
      </c>
      <c r="Q1591" s="87">
        <f t="shared" si="318"/>
        <v>8199.9</v>
      </c>
      <c r="R1591" s="13">
        <f t="shared" si="326"/>
        <v>119.2</v>
      </c>
      <c r="S1591" s="87">
        <f t="shared" si="314"/>
        <v>8319.1</v>
      </c>
    </row>
    <row r="1592" spans="1:19" ht="33">
      <c r="A1592" s="62" t="str">
        <f ca="1">IF(ISERROR(MATCH(E1592,Код_КЦСР,0)),"",INDIRECT(ADDRESS(MATCH(E1592,Код_КЦСР,0)+1,2,,,"КЦСР")))</f>
        <v>Непрограммные направления деятельности органов местного самоуправления</v>
      </c>
      <c r="B1592" s="115">
        <v>812</v>
      </c>
      <c r="C1592" s="8" t="s">
        <v>221</v>
      </c>
      <c r="D1592" s="8" t="s">
        <v>225</v>
      </c>
      <c r="E1592" s="115" t="s">
        <v>307</v>
      </c>
      <c r="F1592" s="115"/>
      <c r="G1592" s="70"/>
      <c r="H1592" s="70"/>
      <c r="I1592" s="70"/>
      <c r="J1592" s="70">
        <f t="shared" si="326"/>
        <v>8199.9</v>
      </c>
      <c r="K1592" s="87">
        <f t="shared" si="317"/>
        <v>8199.9</v>
      </c>
      <c r="L1592" s="13">
        <f t="shared" si="326"/>
        <v>0</v>
      </c>
      <c r="M1592" s="87">
        <f t="shared" si="327"/>
        <v>8199.9</v>
      </c>
      <c r="N1592" s="13">
        <f t="shared" si="326"/>
        <v>0</v>
      </c>
      <c r="O1592" s="87">
        <f t="shared" si="328"/>
        <v>8199.9</v>
      </c>
      <c r="P1592" s="13">
        <f t="shared" si="326"/>
        <v>0</v>
      </c>
      <c r="Q1592" s="87">
        <f t="shared" si="318"/>
        <v>8199.9</v>
      </c>
      <c r="R1592" s="13">
        <f t="shared" si="326"/>
        <v>119.2</v>
      </c>
      <c r="S1592" s="87">
        <f t="shared" si="314"/>
        <v>8319.1</v>
      </c>
    </row>
    <row r="1593" spans="1:19" ht="12.75">
      <c r="A1593" s="62" t="str">
        <f ca="1">IF(ISERROR(MATCH(E1593,Код_КЦСР,0)),"",INDIRECT(ADDRESS(MATCH(E1593,Код_КЦСР,0)+1,2,,,"КЦСР")))</f>
        <v>Расходы, не включенные в муниципальные программы города Череповца</v>
      </c>
      <c r="B1593" s="115">
        <v>812</v>
      </c>
      <c r="C1593" s="8" t="s">
        <v>221</v>
      </c>
      <c r="D1593" s="8" t="s">
        <v>225</v>
      </c>
      <c r="E1593" s="115" t="s">
        <v>309</v>
      </c>
      <c r="F1593" s="115"/>
      <c r="G1593" s="70"/>
      <c r="H1593" s="70"/>
      <c r="I1593" s="70"/>
      <c r="J1593" s="70">
        <f t="shared" si="326"/>
        <v>8199.9</v>
      </c>
      <c r="K1593" s="87">
        <f t="shared" si="317"/>
        <v>8199.9</v>
      </c>
      <c r="L1593" s="13">
        <f t="shared" si="326"/>
        <v>0</v>
      </c>
      <c r="M1593" s="87">
        <f t="shared" si="327"/>
        <v>8199.9</v>
      </c>
      <c r="N1593" s="13">
        <f t="shared" si="326"/>
        <v>0</v>
      </c>
      <c r="O1593" s="87">
        <f t="shared" si="328"/>
        <v>8199.9</v>
      </c>
      <c r="P1593" s="13">
        <f t="shared" si="326"/>
        <v>0</v>
      </c>
      <c r="Q1593" s="87">
        <f t="shared" si="318"/>
        <v>8199.9</v>
      </c>
      <c r="R1593" s="13">
        <f t="shared" si="326"/>
        <v>119.2</v>
      </c>
      <c r="S1593" s="87">
        <f t="shared" si="314"/>
        <v>8319.1</v>
      </c>
    </row>
    <row r="1594" spans="1:19" ht="33">
      <c r="A1594" s="62" t="str">
        <f ca="1">IF(ISERROR(MATCH(E1594,Код_КЦСР,0)),"",INDIRECT(ADDRESS(MATCH(E1594,Код_КЦСР,0)+1,2,,,"КЦСР")))</f>
        <v>Руководство и управление в сфере установленных функций органов местного самоуправления</v>
      </c>
      <c r="B1594" s="115">
        <v>812</v>
      </c>
      <c r="C1594" s="8" t="s">
        <v>221</v>
      </c>
      <c r="D1594" s="8" t="s">
        <v>225</v>
      </c>
      <c r="E1594" s="115" t="s">
        <v>311</v>
      </c>
      <c r="F1594" s="115"/>
      <c r="G1594" s="70"/>
      <c r="H1594" s="70"/>
      <c r="I1594" s="70"/>
      <c r="J1594" s="70">
        <f t="shared" si="326"/>
        <v>8199.9</v>
      </c>
      <c r="K1594" s="87">
        <f t="shared" si="317"/>
        <v>8199.9</v>
      </c>
      <c r="L1594" s="13">
        <f t="shared" si="326"/>
        <v>0</v>
      </c>
      <c r="M1594" s="87">
        <f t="shared" si="327"/>
        <v>8199.9</v>
      </c>
      <c r="N1594" s="13">
        <f t="shared" si="326"/>
        <v>0</v>
      </c>
      <c r="O1594" s="87">
        <f t="shared" si="328"/>
        <v>8199.9</v>
      </c>
      <c r="P1594" s="13">
        <f t="shared" si="326"/>
        <v>0</v>
      </c>
      <c r="Q1594" s="87">
        <f t="shared" si="318"/>
        <v>8199.9</v>
      </c>
      <c r="R1594" s="13">
        <f t="shared" si="326"/>
        <v>119.2</v>
      </c>
      <c r="S1594" s="87">
        <f t="shared" si="314"/>
        <v>8319.1</v>
      </c>
    </row>
    <row r="1595" spans="1:19" ht="12.75">
      <c r="A1595" s="62" t="str">
        <f ca="1">IF(ISERROR(MATCH(E1595,Код_КЦСР,0)),"",INDIRECT(ADDRESS(MATCH(E1595,Код_КЦСР,0)+1,2,,,"КЦСР")))</f>
        <v>Центральный аппарат</v>
      </c>
      <c r="B1595" s="115">
        <v>812</v>
      </c>
      <c r="C1595" s="8" t="s">
        <v>221</v>
      </c>
      <c r="D1595" s="8" t="s">
        <v>225</v>
      </c>
      <c r="E1595" s="115" t="s">
        <v>314</v>
      </c>
      <c r="F1595" s="115"/>
      <c r="G1595" s="70"/>
      <c r="H1595" s="70"/>
      <c r="I1595" s="70"/>
      <c r="J1595" s="70">
        <f>J1596+J1599+J1601</f>
        <v>8199.9</v>
      </c>
      <c r="K1595" s="87">
        <f t="shared" si="317"/>
        <v>8199.9</v>
      </c>
      <c r="L1595" s="13">
        <f>L1596+L1599+L1601</f>
        <v>0</v>
      </c>
      <c r="M1595" s="87">
        <f t="shared" si="327"/>
        <v>8199.9</v>
      </c>
      <c r="N1595" s="13">
        <f>N1596+N1599+N1601</f>
        <v>0</v>
      </c>
      <c r="O1595" s="87">
        <f t="shared" si="328"/>
        <v>8199.9</v>
      </c>
      <c r="P1595" s="13">
        <f>P1596+P1599+P1601</f>
        <v>0</v>
      </c>
      <c r="Q1595" s="87">
        <f t="shared" si="318"/>
        <v>8199.9</v>
      </c>
      <c r="R1595" s="13">
        <f>R1596+R1599+R1601</f>
        <v>119.2</v>
      </c>
      <c r="S1595" s="87">
        <f t="shared" si="314"/>
        <v>8319.1</v>
      </c>
    </row>
    <row r="1596" spans="1:19" ht="33">
      <c r="A1596" s="62" t="str">
        <f aca="true" t="shared" si="329" ref="A1596:A1602">IF(ISERROR(MATCH(F1596,Код_КВР,0)),"",INDIRECT(ADDRESS(MATCH(F1596,Код_КВР,0)+1,2,,,"КВР")))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96" s="115">
        <v>812</v>
      </c>
      <c r="C1596" s="8" t="s">
        <v>221</v>
      </c>
      <c r="D1596" s="8" t="s">
        <v>225</v>
      </c>
      <c r="E1596" s="115" t="s">
        <v>314</v>
      </c>
      <c r="F1596" s="115">
        <v>100</v>
      </c>
      <c r="G1596" s="70"/>
      <c r="H1596" s="70"/>
      <c r="I1596" s="70"/>
      <c r="J1596" s="70">
        <f>J1597</f>
        <v>8130.3</v>
      </c>
      <c r="K1596" s="87">
        <f t="shared" si="317"/>
        <v>8130.3</v>
      </c>
      <c r="L1596" s="13">
        <f>L1597</f>
        <v>0</v>
      </c>
      <c r="M1596" s="87">
        <f t="shared" si="327"/>
        <v>8130.3</v>
      </c>
      <c r="N1596" s="13">
        <f>N1597</f>
        <v>0</v>
      </c>
      <c r="O1596" s="87">
        <f t="shared" si="328"/>
        <v>8130.3</v>
      </c>
      <c r="P1596" s="13">
        <f>P1597</f>
        <v>0</v>
      </c>
      <c r="Q1596" s="87">
        <f t="shared" si="318"/>
        <v>8130.3</v>
      </c>
      <c r="R1596" s="13">
        <f>R1597</f>
        <v>119.2</v>
      </c>
      <c r="S1596" s="87">
        <f t="shared" si="314"/>
        <v>8249.5</v>
      </c>
    </row>
    <row r="1597" spans="1:19" ht="12.75">
      <c r="A1597" s="62" t="str">
        <f ca="1" t="shared" si="329"/>
        <v>Расходы на выплаты персоналу муниципальных органов</v>
      </c>
      <c r="B1597" s="115">
        <v>812</v>
      </c>
      <c r="C1597" s="8" t="s">
        <v>221</v>
      </c>
      <c r="D1597" s="8" t="s">
        <v>225</v>
      </c>
      <c r="E1597" s="115" t="s">
        <v>314</v>
      </c>
      <c r="F1597" s="115">
        <v>120</v>
      </c>
      <c r="G1597" s="70"/>
      <c r="H1597" s="70"/>
      <c r="I1597" s="70"/>
      <c r="J1597" s="70">
        <v>8130.3</v>
      </c>
      <c r="K1597" s="87">
        <f t="shared" si="317"/>
        <v>8130.3</v>
      </c>
      <c r="L1597" s="13"/>
      <c r="M1597" s="87">
        <f t="shared" si="327"/>
        <v>8130.3</v>
      </c>
      <c r="N1597" s="13"/>
      <c r="O1597" s="87">
        <f t="shared" si="328"/>
        <v>8130.3</v>
      </c>
      <c r="P1597" s="13"/>
      <c r="Q1597" s="87">
        <f t="shared" si="318"/>
        <v>8130.3</v>
      </c>
      <c r="R1597" s="13">
        <v>119.2</v>
      </c>
      <c r="S1597" s="87">
        <f aca="true" t="shared" si="330" ref="S1597:S1633">Q1597+R1597</f>
        <v>8249.5</v>
      </c>
    </row>
    <row r="1598" spans="1:19" ht="12.75">
      <c r="A1598" s="62" t="str">
        <f ca="1" t="shared" si="329"/>
        <v>Закупка товаров, работ и услуг для муниципальных нужд</v>
      </c>
      <c r="B1598" s="115">
        <v>812</v>
      </c>
      <c r="C1598" s="8" t="s">
        <v>221</v>
      </c>
      <c r="D1598" s="8" t="s">
        <v>225</v>
      </c>
      <c r="E1598" s="115" t="s">
        <v>314</v>
      </c>
      <c r="F1598" s="115">
        <v>200</v>
      </c>
      <c r="G1598" s="70"/>
      <c r="H1598" s="70"/>
      <c r="I1598" s="70"/>
      <c r="J1598" s="70">
        <f>J1599</f>
        <v>66.6</v>
      </c>
      <c r="K1598" s="87">
        <f t="shared" si="317"/>
        <v>66.6</v>
      </c>
      <c r="L1598" s="13">
        <f>L1599</f>
        <v>0</v>
      </c>
      <c r="M1598" s="87">
        <f t="shared" si="327"/>
        <v>66.6</v>
      </c>
      <c r="N1598" s="13">
        <f>N1599</f>
        <v>0</v>
      </c>
      <c r="O1598" s="87">
        <f t="shared" si="328"/>
        <v>66.6</v>
      </c>
      <c r="P1598" s="13">
        <f>P1599</f>
        <v>0</v>
      </c>
      <c r="Q1598" s="87">
        <f t="shared" si="318"/>
        <v>66.6</v>
      </c>
      <c r="R1598" s="13">
        <f>R1599</f>
        <v>0</v>
      </c>
      <c r="S1598" s="87">
        <f t="shared" si="330"/>
        <v>66.6</v>
      </c>
    </row>
    <row r="1599" spans="1:19" ht="33">
      <c r="A1599" s="62" t="str">
        <f ca="1" t="shared" si="329"/>
        <v>Иные закупки товаров, работ и услуг для обеспечения муниципальных нужд</v>
      </c>
      <c r="B1599" s="115">
        <v>812</v>
      </c>
      <c r="C1599" s="8" t="s">
        <v>221</v>
      </c>
      <c r="D1599" s="8" t="s">
        <v>225</v>
      </c>
      <c r="E1599" s="115" t="s">
        <v>314</v>
      </c>
      <c r="F1599" s="115">
        <v>240</v>
      </c>
      <c r="G1599" s="70"/>
      <c r="H1599" s="70"/>
      <c r="I1599" s="70"/>
      <c r="J1599" s="70">
        <f>J1600</f>
        <v>66.6</v>
      </c>
      <c r="K1599" s="87">
        <f t="shared" si="317"/>
        <v>66.6</v>
      </c>
      <c r="L1599" s="13">
        <f>L1600</f>
        <v>0</v>
      </c>
      <c r="M1599" s="87">
        <f t="shared" si="327"/>
        <v>66.6</v>
      </c>
      <c r="N1599" s="13">
        <f>N1600</f>
        <v>0</v>
      </c>
      <c r="O1599" s="87">
        <f t="shared" si="328"/>
        <v>66.6</v>
      </c>
      <c r="P1599" s="13">
        <f>P1600</f>
        <v>0</v>
      </c>
      <c r="Q1599" s="87">
        <f t="shared" si="318"/>
        <v>66.6</v>
      </c>
      <c r="R1599" s="13">
        <f>R1600</f>
        <v>0</v>
      </c>
      <c r="S1599" s="87">
        <f t="shared" si="330"/>
        <v>66.6</v>
      </c>
    </row>
    <row r="1600" spans="1:19" ht="33">
      <c r="A1600" s="62" t="str">
        <f ca="1" t="shared" si="329"/>
        <v xml:space="preserve">Прочая закупка товаров, работ и услуг для обеспечения муниципальных нужд         </v>
      </c>
      <c r="B1600" s="115">
        <v>812</v>
      </c>
      <c r="C1600" s="8" t="s">
        <v>221</v>
      </c>
      <c r="D1600" s="8" t="s">
        <v>225</v>
      </c>
      <c r="E1600" s="115" t="s">
        <v>314</v>
      </c>
      <c r="F1600" s="115">
        <v>244</v>
      </c>
      <c r="G1600" s="70"/>
      <c r="H1600" s="70"/>
      <c r="I1600" s="70"/>
      <c r="J1600" s="70">
        <v>66.6</v>
      </c>
      <c r="K1600" s="87">
        <f t="shared" si="317"/>
        <v>66.6</v>
      </c>
      <c r="L1600" s="13"/>
      <c r="M1600" s="87">
        <f t="shared" si="327"/>
        <v>66.6</v>
      </c>
      <c r="N1600" s="13"/>
      <c r="O1600" s="87">
        <f t="shared" si="328"/>
        <v>66.6</v>
      </c>
      <c r="P1600" s="13"/>
      <c r="Q1600" s="87">
        <f t="shared" si="318"/>
        <v>66.6</v>
      </c>
      <c r="R1600" s="13"/>
      <c r="S1600" s="87">
        <f t="shared" si="330"/>
        <v>66.6</v>
      </c>
    </row>
    <row r="1601" spans="1:19" ht="12.75">
      <c r="A1601" s="62" t="str">
        <f ca="1" t="shared" si="329"/>
        <v>Иные бюджетные ассигнования</v>
      </c>
      <c r="B1601" s="115">
        <v>812</v>
      </c>
      <c r="C1601" s="8" t="s">
        <v>221</v>
      </c>
      <c r="D1601" s="8" t="s">
        <v>225</v>
      </c>
      <c r="E1601" s="115" t="s">
        <v>314</v>
      </c>
      <c r="F1601" s="115">
        <v>800</v>
      </c>
      <c r="G1601" s="70"/>
      <c r="H1601" s="70"/>
      <c r="I1601" s="70"/>
      <c r="J1601" s="70">
        <f>J1602</f>
        <v>3</v>
      </c>
      <c r="K1601" s="87">
        <f t="shared" si="317"/>
        <v>3</v>
      </c>
      <c r="L1601" s="13">
        <f>L1602</f>
        <v>0</v>
      </c>
      <c r="M1601" s="87">
        <f t="shared" si="327"/>
        <v>3</v>
      </c>
      <c r="N1601" s="13">
        <f>N1602</f>
        <v>0</v>
      </c>
      <c r="O1601" s="87">
        <f t="shared" si="328"/>
        <v>3</v>
      </c>
      <c r="P1601" s="13">
        <f>P1602</f>
        <v>0</v>
      </c>
      <c r="Q1601" s="87">
        <f t="shared" si="318"/>
        <v>3</v>
      </c>
      <c r="R1601" s="13">
        <f>R1602</f>
        <v>0</v>
      </c>
      <c r="S1601" s="87">
        <f t="shared" si="330"/>
        <v>3</v>
      </c>
    </row>
    <row r="1602" spans="1:19" ht="12.75">
      <c r="A1602" s="62" t="str">
        <f ca="1" t="shared" si="329"/>
        <v>Уплата налогов, сборов и иных платежей</v>
      </c>
      <c r="B1602" s="115">
        <v>812</v>
      </c>
      <c r="C1602" s="8" t="s">
        <v>221</v>
      </c>
      <c r="D1602" s="8" t="s">
        <v>225</v>
      </c>
      <c r="E1602" s="115" t="s">
        <v>314</v>
      </c>
      <c r="F1602" s="115">
        <v>850</v>
      </c>
      <c r="G1602" s="70"/>
      <c r="H1602" s="70"/>
      <c r="I1602" s="70"/>
      <c r="J1602" s="70">
        <f>J1603</f>
        <v>3</v>
      </c>
      <c r="K1602" s="87">
        <f t="shared" si="317"/>
        <v>3</v>
      </c>
      <c r="L1602" s="13">
        <f>L1603</f>
        <v>0</v>
      </c>
      <c r="M1602" s="87">
        <f t="shared" si="327"/>
        <v>3</v>
      </c>
      <c r="N1602" s="13">
        <f>N1603</f>
        <v>0</v>
      </c>
      <c r="O1602" s="87">
        <f t="shared" si="328"/>
        <v>3</v>
      </c>
      <c r="P1602" s="13">
        <f>P1603</f>
        <v>0</v>
      </c>
      <c r="Q1602" s="87">
        <f t="shared" si="318"/>
        <v>3</v>
      </c>
      <c r="R1602" s="13">
        <f>R1603</f>
        <v>0</v>
      </c>
      <c r="S1602" s="87">
        <f t="shared" si="330"/>
        <v>3</v>
      </c>
    </row>
    <row r="1603" spans="1:19" ht="12.75">
      <c r="A1603" s="62" t="str">
        <f ca="1">IF(ISERROR(MATCH(F1603,Код_КВР,0)),"",INDIRECT(ADDRESS(MATCH(F1603,Код_КВР,0)+1,2,,,"КВР")))</f>
        <v>Уплата прочих налогов, сборов и иных платежей</v>
      </c>
      <c r="B1603" s="115">
        <v>812</v>
      </c>
      <c r="C1603" s="8" t="s">
        <v>221</v>
      </c>
      <c r="D1603" s="8" t="s">
        <v>225</v>
      </c>
      <c r="E1603" s="115" t="s">
        <v>314</v>
      </c>
      <c r="F1603" s="115">
        <v>852</v>
      </c>
      <c r="G1603" s="70"/>
      <c r="H1603" s="70"/>
      <c r="I1603" s="70"/>
      <c r="J1603" s="70">
        <v>3</v>
      </c>
      <c r="K1603" s="87">
        <f t="shared" si="317"/>
        <v>3</v>
      </c>
      <c r="L1603" s="13"/>
      <c r="M1603" s="87">
        <f t="shared" si="327"/>
        <v>3</v>
      </c>
      <c r="N1603" s="13"/>
      <c r="O1603" s="87">
        <f t="shared" si="328"/>
        <v>3</v>
      </c>
      <c r="P1603" s="13"/>
      <c r="Q1603" s="87">
        <f t="shared" si="318"/>
        <v>3</v>
      </c>
      <c r="R1603" s="13"/>
      <c r="S1603" s="87">
        <f t="shared" si="330"/>
        <v>3</v>
      </c>
    </row>
    <row r="1604" spans="1:19" ht="33">
      <c r="A1604" s="62" t="str">
        <f ca="1">IF(ISERROR(MATCH(B1604,Код_ППП,0)),"",INDIRECT(ADDRESS(MATCH(B1604,Код_ППП,0)+1,2,,,"ППП")))</f>
        <v>КОМИТЕТ ПО КОНТРОЛЮ В СФЕРЕ БЛАГОУСТРОЙСТВА И ОХРАНЫ ОКРУЖАЮЩЕЙ СРЕДЫ ГОРОДА</v>
      </c>
      <c r="B1604" s="115">
        <v>840</v>
      </c>
      <c r="C1604" s="8"/>
      <c r="D1604" s="8"/>
      <c r="E1604" s="115"/>
      <c r="F1604" s="115"/>
      <c r="G1604" s="70">
        <f>G1605</f>
        <v>17671.6</v>
      </c>
      <c r="H1604" s="70">
        <f>H1605</f>
        <v>0</v>
      </c>
      <c r="I1604" s="70">
        <f t="shared" si="322"/>
        <v>17671.6</v>
      </c>
      <c r="J1604" s="70">
        <f>J1605</f>
        <v>0</v>
      </c>
      <c r="K1604" s="87">
        <f aca="true" t="shared" si="331" ref="K1604:K1633">I1604+J1604</f>
        <v>17671.6</v>
      </c>
      <c r="L1604" s="13">
        <f>L1605</f>
        <v>-0.6</v>
      </c>
      <c r="M1604" s="87">
        <f t="shared" si="327"/>
        <v>17671</v>
      </c>
      <c r="N1604" s="13">
        <f>N1605</f>
        <v>0</v>
      </c>
      <c r="O1604" s="87">
        <f t="shared" si="328"/>
        <v>17671</v>
      </c>
      <c r="P1604" s="13">
        <f>P1605</f>
        <v>0</v>
      </c>
      <c r="Q1604" s="87">
        <f t="shared" si="318"/>
        <v>17671</v>
      </c>
      <c r="R1604" s="13">
        <f>R1605</f>
        <v>0</v>
      </c>
      <c r="S1604" s="87">
        <f t="shared" si="330"/>
        <v>17671</v>
      </c>
    </row>
    <row r="1605" spans="1:19" ht="12.75">
      <c r="A1605" s="62" t="str">
        <f ca="1">IF(ISERROR(MATCH(C1605,Код_Раздел,0)),"",INDIRECT(ADDRESS(MATCH(C1605,Код_Раздел,0)+1,2,,,"Раздел")))</f>
        <v>Охрана окружающей среды</v>
      </c>
      <c r="B1605" s="115">
        <v>840</v>
      </c>
      <c r="C1605" s="8" t="s">
        <v>225</v>
      </c>
      <c r="D1605" s="8"/>
      <c r="E1605" s="115"/>
      <c r="F1605" s="115"/>
      <c r="G1605" s="70">
        <f>G1606+G1615</f>
        <v>17671.6</v>
      </c>
      <c r="H1605" s="70">
        <f>H1606+H1615</f>
        <v>0</v>
      </c>
      <c r="I1605" s="70">
        <f t="shared" si="322"/>
        <v>17671.6</v>
      </c>
      <c r="J1605" s="70">
        <f>J1606+J1615</f>
        <v>0</v>
      </c>
      <c r="K1605" s="87">
        <f t="shared" si="331"/>
        <v>17671.6</v>
      </c>
      <c r="L1605" s="13">
        <f>L1606+L1615</f>
        <v>-0.6</v>
      </c>
      <c r="M1605" s="87">
        <f t="shared" si="327"/>
        <v>17671</v>
      </c>
      <c r="N1605" s="13">
        <f>N1606+N1615</f>
        <v>0</v>
      </c>
      <c r="O1605" s="87">
        <f t="shared" si="328"/>
        <v>17671</v>
      </c>
      <c r="P1605" s="13">
        <f>P1606+P1615</f>
        <v>0</v>
      </c>
      <c r="Q1605" s="87">
        <f t="shared" si="318"/>
        <v>17671</v>
      </c>
      <c r="R1605" s="13">
        <f>R1606+R1615</f>
        <v>0</v>
      </c>
      <c r="S1605" s="87">
        <f t="shared" si="330"/>
        <v>17671</v>
      </c>
    </row>
    <row r="1606" spans="1:19" ht="12.75">
      <c r="A1606" s="80" t="s">
        <v>168</v>
      </c>
      <c r="B1606" s="115">
        <v>840</v>
      </c>
      <c r="C1606" s="8" t="s">
        <v>225</v>
      </c>
      <c r="D1606" s="8" t="s">
        <v>223</v>
      </c>
      <c r="E1606" s="115"/>
      <c r="F1606" s="115"/>
      <c r="G1606" s="70">
        <f aca="true" t="shared" si="332" ref="G1606:R1608">G1607</f>
        <v>1703.5</v>
      </c>
      <c r="H1606" s="70">
        <f t="shared" si="332"/>
        <v>0</v>
      </c>
      <c r="I1606" s="70">
        <f t="shared" si="322"/>
        <v>1703.5</v>
      </c>
      <c r="J1606" s="70">
        <f t="shared" si="332"/>
        <v>0</v>
      </c>
      <c r="K1606" s="87">
        <f t="shared" si="331"/>
        <v>1703.5</v>
      </c>
      <c r="L1606" s="13">
        <f t="shared" si="332"/>
        <v>0</v>
      </c>
      <c r="M1606" s="87">
        <f t="shared" si="327"/>
        <v>1703.5</v>
      </c>
      <c r="N1606" s="13">
        <f t="shared" si="332"/>
        <v>0</v>
      </c>
      <c r="O1606" s="87">
        <f t="shared" si="328"/>
        <v>1703.5</v>
      </c>
      <c r="P1606" s="13">
        <f t="shared" si="332"/>
        <v>0</v>
      </c>
      <c r="Q1606" s="87">
        <f aca="true" t="shared" si="333" ref="Q1606:Q1633">O1606+P1606</f>
        <v>1703.5</v>
      </c>
      <c r="R1606" s="13">
        <f t="shared" si="332"/>
        <v>0</v>
      </c>
      <c r="S1606" s="87">
        <f t="shared" si="330"/>
        <v>1703.5</v>
      </c>
    </row>
    <row r="1607" spans="1:19" ht="33">
      <c r="A1607" s="62" t="str">
        <f ca="1">IF(ISERROR(MATCH(E1607,Код_КЦСР,0)),"",INDIRECT(ADDRESS(MATCH(E1607,Код_КЦСР,0)+1,2,,,"КЦСР")))</f>
        <v>Непрограммные направления деятельности органов местного самоуправления</v>
      </c>
      <c r="B1607" s="115">
        <v>840</v>
      </c>
      <c r="C1607" s="8" t="s">
        <v>225</v>
      </c>
      <c r="D1607" s="8" t="s">
        <v>223</v>
      </c>
      <c r="E1607" s="115" t="s">
        <v>307</v>
      </c>
      <c r="F1607" s="115"/>
      <c r="G1607" s="70">
        <f t="shared" si="332"/>
        <v>1703.5</v>
      </c>
      <c r="H1607" s="70">
        <f t="shared" si="332"/>
        <v>0</v>
      </c>
      <c r="I1607" s="70">
        <f t="shared" si="322"/>
        <v>1703.5</v>
      </c>
      <c r="J1607" s="70">
        <f t="shared" si="332"/>
        <v>0</v>
      </c>
      <c r="K1607" s="87">
        <f t="shared" si="331"/>
        <v>1703.5</v>
      </c>
      <c r="L1607" s="13">
        <f t="shared" si="332"/>
        <v>0</v>
      </c>
      <c r="M1607" s="87">
        <f t="shared" si="327"/>
        <v>1703.5</v>
      </c>
      <c r="N1607" s="13">
        <f t="shared" si="332"/>
        <v>0</v>
      </c>
      <c r="O1607" s="87">
        <f t="shared" si="328"/>
        <v>1703.5</v>
      </c>
      <c r="P1607" s="13">
        <f t="shared" si="332"/>
        <v>0</v>
      </c>
      <c r="Q1607" s="87">
        <f t="shared" si="333"/>
        <v>1703.5</v>
      </c>
      <c r="R1607" s="13">
        <f t="shared" si="332"/>
        <v>0</v>
      </c>
      <c r="S1607" s="87">
        <f t="shared" si="330"/>
        <v>1703.5</v>
      </c>
    </row>
    <row r="1608" spans="1:19" ht="12.75">
      <c r="A1608" s="62" t="str">
        <f ca="1">IF(ISERROR(MATCH(E1608,Код_КЦСР,0)),"",INDIRECT(ADDRESS(MATCH(E1608,Код_КЦСР,0)+1,2,,,"КЦСР")))</f>
        <v>Расходы, не включенные в муниципальные программы города Череповца</v>
      </c>
      <c r="B1608" s="115">
        <v>840</v>
      </c>
      <c r="C1608" s="8" t="s">
        <v>225</v>
      </c>
      <c r="D1608" s="8" t="s">
        <v>223</v>
      </c>
      <c r="E1608" s="115" t="s">
        <v>309</v>
      </c>
      <c r="F1608" s="115"/>
      <c r="G1608" s="70">
        <f t="shared" si="332"/>
        <v>1703.5</v>
      </c>
      <c r="H1608" s="70">
        <f t="shared" si="332"/>
        <v>0</v>
      </c>
      <c r="I1608" s="70">
        <f t="shared" si="322"/>
        <v>1703.5</v>
      </c>
      <c r="J1608" s="70">
        <f t="shared" si="332"/>
        <v>0</v>
      </c>
      <c r="K1608" s="87">
        <f t="shared" si="331"/>
        <v>1703.5</v>
      </c>
      <c r="L1608" s="13">
        <f t="shared" si="332"/>
        <v>0</v>
      </c>
      <c r="M1608" s="87">
        <f t="shared" si="327"/>
        <v>1703.5</v>
      </c>
      <c r="N1608" s="13">
        <f t="shared" si="332"/>
        <v>0</v>
      </c>
      <c r="O1608" s="87">
        <f t="shared" si="328"/>
        <v>1703.5</v>
      </c>
      <c r="P1608" s="13">
        <f t="shared" si="332"/>
        <v>0</v>
      </c>
      <c r="Q1608" s="87">
        <f t="shared" si="333"/>
        <v>1703.5</v>
      </c>
      <c r="R1608" s="13">
        <f t="shared" si="332"/>
        <v>0</v>
      </c>
      <c r="S1608" s="87">
        <f t="shared" si="330"/>
        <v>1703.5</v>
      </c>
    </row>
    <row r="1609" spans="1:19" ht="82.5">
      <c r="A1609" s="62" t="str">
        <f ca="1">IF(ISERROR(MATCH(E1609,Код_КЦСР,0)),"",INDIRECT(ADDRESS(MATCH(E1609,Код_КЦСР,0)+1,2,,,"КЦСР")))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609" s="115">
        <v>840</v>
      </c>
      <c r="C1609" s="8" t="s">
        <v>225</v>
      </c>
      <c r="D1609" s="8" t="s">
        <v>223</v>
      </c>
      <c r="E1609" s="115" t="s">
        <v>415</v>
      </c>
      <c r="F1609" s="115"/>
      <c r="G1609" s="70">
        <f>G1610+G1612</f>
        <v>1703.5</v>
      </c>
      <c r="H1609" s="70">
        <f>H1610+H1612</f>
        <v>0</v>
      </c>
      <c r="I1609" s="70">
        <f t="shared" si="322"/>
        <v>1703.5</v>
      </c>
      <c r="J1609" s="70">
        <f>J1610+J1612</f>
        <v>0</v>
      </c>
      <c r="K1609" s="87">
        <f t="shared" si="331"/>
        <v>1703.5</v>
      </c>
      <c r="L1609" s="13">
        <f>L1610+L1612</f>
        <v>0</v>
      </c>
      <c r="M1609" s="87">
        <f t="shared" si="327"/>
        <v>1703.5</v>
      </c>
      <c r="N1609" s="13">
        <f>N1610+N1612</f>
        <v>0</v>
      </c>
      <c r="O1609" s="87">
        <f t="shared" si="328"/>
        <v>1703.5</v>
      </c>
      <c r="P1609" s="13">
        <f>P1610+P1612</f>
        <v>0</v>
      </c>
      <c r="Q1609" s="87">
        <f t="shared" si="333"/>
        <v>1703.5</v>
      </c>
      <c r="R1609" s="13">
        <f>R1610+R1612</f>
        <v>0</v>
      </c>
      <c r="S1609" s="87">
        <f t="shared" si="330"/>
        <v>1703.5</v>
      </c>
    </row>
    <row r="1610" spans="1:19" ht="33">
      <c r="A1610" s="62" t="str">
        <f ca="1">IF(ISERROR(MATCH(F1610,Код_КВР,0)),"",INDIRECT(ADDRESS(MATCH(F1610,Код_КВР,0)+1,2,,,"КВР")))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10" s="115">
        <v>840</v>
      </c>
      <c r="C1610" s="8" t="s">
        <v>225</v>
      </c>
      <c r="D1610" s="8" t="s">
        <v>223</v>
      </c>
      <c r="E1610" s="115" t="s">
        <v>415</v>
      </c>
      <c r="F1610" s="115">
        <v>100</v>
      </c>
      <c r="G1610" s="70">
        <f>G1611</f>
        <v>1653.5</v>
      </c>
      <c r="H1610" s="70">
        <f>H1611</f>
        <v>0</v>
      </c>
      <c r="I1610" s="70">
        <f t="shared" si="322"/>
        <v>1653.5</v>
      </c>
      <c r="J1610" s="70">
        <f>J1611</f>
        <v>0</v>
      </c>
      <c r="K1610" s="87">
        <f t="shared" si="331"/>
        <v>1653.5</v>
      </c>
      <c r="L1610" s="13">
        <f>L1611</f>
        <v>0</v>
      </c>
      <c r="M1610" s="87">
        <f t="shared" si="327"/>
        <v>1653.5</v>
      </c>
      <c r="N1610" s="13">
        <f>N1611</f>
        <v>0</v>
      </c>
      <c r="O1610" s="87">
        <f t="shared" si="328"/>
        <v>1653.5</v>
      </c>
      <c r="P1610" s="13">
        <f>P1611</f>
        <v>0</v>
      </c>
      <c r="Q1610" s="87">
        <f t="shared" si="333"/>
        <v>1653.5</v>
      </c>
      <c r="R1610" s="13">
        <f>R1611</f>
        <v>0</v>
      </c>
      <c r="S1610" s="87">
        <f t="shared" si="330"/>
        <v>1653.5</v>
      </c>
    </row>
    <row r="1611" spans="1:19" ht="12.75">
      <c r="A1611" s="62" t="str">
        <f ca="1">IF(ISERROR(MATCH(F1611,Код_КВР,0)),"",INDIRECT(ADDRESS(MATCH(F1611,Код_КВР,0)+1,2,,,"КВР")))</f>
        <v>Расходы на выплаты персоналу муниципальных органов</v>
      </c>
      <c r="B1611" s="115">
        <v>840</v>
      </c>
      <c r="C1611" s="8" t="s">
        <v>225</v>
      </c>
      <c r="D1611" s="8" t="s">
        <v>223</v>
      </c>
      <c r="E1611" s="115" t="s">
        <v>415</v>
      </c>
      <c r="F1611" s="115">
        <v>120</v>
      </c>
      <c r="G1611" s="70">
        <v>1653.5</v>
      </c>
      <c r="H1611" s="70"/>
      <c r="I1611" s="70">
        <f t="shared" si="322"/>
        <v>1653.5</v>
      </c>
      <c r="J1611" s="70"/>
      <c r="K1611" s="87">
        <f t="shared" si="331"/>
        <v>1653.5</v>
      </c>
      <c r="L1611" s="13"/>
      <c r="M1611" s="87">
        <f t="shared" si="327"/>
        <v>1653.5</v>
      </c>
      <c r="N1611" s="13"/>
      <c r="O1611" s="87">
        <f t="shared" si="328"/>
        <v>1653.5</v>
      </c>
      <c r="P1611" s="13"/>
      <c r="Q1611" s="87">
        <f t="shared" si="333"/>
        <v>1653.5</v>
      </c>
      <c r="R1611" s="13"/>
      <c r="S1611" s="87">
        <f t="shared" si="330"/>
        <v>1653.5</v>
      </c>
    </row>
    <row r="1612" spans="1:19" ht="12.75">
      <c r="A1612" s="62" t="str">
        <f ca="1">IF(ISERROR(MATCH(F1612,Код_КВР,0)),"",INDIRECT(ADDRESS(MATCH(F1612,Код_КВР,0)+1,2,,,"КВР")))</f>
        <v>Закупка товаров, работ и услуг для муниципальных нужд</v>
      </c>
      <c r="B1612" s="115">
        <v>840</v>
      </c>
      <c r="C1612" s="8" t="s">
        <v>225</v>
      </c>
      <c r="D1612" s="8" t="s">
        <v>223</v>
      </c>
      <c r="E1612" s="115" t="s">
        <v>415</v>
      </c>
      <c r="F1612" s="115">
        <v>200</v>
      </c>
      <c r="G1612" s="70">
        <f>G1613</f>
        <v>50</v>
      </c>
      <c r="H1612" s="70">
        <f>H1613</f>
        <v>0</v>
      </c>
      <c r="I1612" s="70">
        <f t="shared" si="322"/>
        <v>50</v>
      </c>
      <c r="J1612" s="70">
        <f>J1613</f>
        <v>0</v>
      </c>
      <c r="K1612" s="87">
        <f t="shared" si="331"/>
        <v>50</v>
      </c>
      <c r="L1612" s="13">
        <f>L1613</f>
        <v>0</v>
      </c>
      <c r="M1612" s="87">
        <f t="shared" si="327"/>
        <v>50</v>
      </c>
      <c r="N1612" s="13">
        <f>N1613</f>
        <v>0</v>
      </c>
      <c r="O1612" s="87">
        <f t="shared" si="328"/>
        <v>50</v>
      </c>
      <c r="P1612" s="13">
        <f>P1613</f>
        <v>0</v>
      </c>
      <c r="Q1612" s="87">
        <f t="shared" si="333"/>
        <v>50</v>
      </c>
      <c r="R1612" s="13">
        <f>R1613</f>
        <v>0</v>
      </c>
      <c r="S1612" s="87">
        <f t="shared" si="330"/>
        <v>50</v>
      </c>
    </row>
    <row r="1613" spans="1:19" ht="33">
      <c r="A1613" s="62" t="str">
        <f ca="1">IF(ISERROR(MATCH(F1613,Код_КВР,0)),"",INDIRECT(ADDRESS(MATCH(F1613,Код_КВР,0)+1,2,,,"КВР")))</f>
        <v>Иные закупки товаров, работ и услуг для обеспечения муниципальных нужд</v>
      </c>
      <c r="B1613" s="115">
        <v>840</v>
      </c>
      <c r="C1613" s="8" t="s">
        <v>225</v>
      </c>
      <c r="D1613" s="8" t="s">
        <v>223</v>
      </c>
      <c r="E1613" s="115" t="s">
        <v>415</v>
      </c>
      <c r="F1613" s="115">
        <v>240</v>
      </c>
      <c r="G1613" s="70">
        <f>G1614</f>
        <v>50</v>
      </c>
      <c r="H1613" s="70">
        <f>H1614</f>
        <v>0</v>
      </c>
      <c r="I1613" s="70">
        <f t="shared" si="322"/>
        <v>50</v>
      </c>
      <c r="J1613" s="70">
        <f>J1614</f>
        <v>0</v>
      </c>
      <c r="K1613" s="87">
        <f t="shared" si="331"/>
        <v>50</v>
      </c>
      <c r="L1613" s="13">
        <f>L1614</f>
        <v>0</v>
      </c>
      <c r="M1613" s="87">
        <f t="shared" si="327"/>
        <v>50</v>
      </c>
      <c r="N1613" s="13">
        <f>N1614</f>
        <v>0</v>
      </c>
      <c r="O1613" s="87">
        <f t="shared" si="328"/>
        <v>50</v>
      </c>
      <c r="P1613" s="13">
        <f>P1614</f>
        <v>0</v>
      </c>
      <c r="Q1613" s="87">
        <f t="shared" si="333"/>
        <v>50</v>
      </c>
      <c r="R1613" s="13">
        <f>R1614</f>
        <v>0</v>
      </c>
      <c r="S1613" s="87">
        <f t="shared" si="330"/>
        <v>50</v>
      </c>
    </row>
    <row r="1614" spans="1:19" ht="33">
      <c r="A1614" s="62" t="str">
        <f ca="1">IF(ISERROR(MATCH(F1614,Код_КВР,0)),"",INDIRECT(ADDRESS(MATCH(F1614,Код_КВР,0)+1,2,,,"КВР")))</f>
        <v xml:space="preserve">Прочая закупка товаров, работ и услуг для обеспечения муниципальных нужд         </v>
      </c>
      <c r="B1614" s="115">
        <v>840</v>
      </c>
      <c r="C1614" s="8" t="s">
        <v>225</v>
      </c>
      <c r="D1614" s="8" t="s">
        <v>223</v>
      </c>
      <c r="E1614" s="115" t="s">
        <v>415</v>
      </c>
      <c r="F1614" s="115">
        <v>244</v>
      </c>
      <c r="G1614" s="70">
        <v>50</v>
      </c>
      <c r="H1614" s="70"/>
      <c r="I1614" s="70">
        <f t="shared" si="322"/>
        <v>50</v>
      </c>
      <c r="J1614" s="70"/>
      <c r="K1614" s="87">
        <f t="shared" si="331"/>
        <v>50</v>
      </c>
      <c r="L1614" s="13"/>
      <c r="M1614" s="87">
        <f t="shared" si="327"/>
        <v>50</v>
      </c>
      <c r="N1614" s="13"/>
      <c r="O1614" s="87">
        <f t="shared" si="328"/>
        <v>50</v>
      </c>
      <c r="P1614" s="13"/>
      <c r="Q1614" s="87">
        <f t="shared" si="333"/>
        <v>50</v>
      </c>
      <c r="R1614" s="13"/>
      <c r="S1614" s="87">
        <f t="shared" si="330"/>
        <v>50</v>
      </c>
    </row>
    <row r="1615" spans="1:19" ht="12.75">
      <c r="A1615" s="12" t="s">
        <v>263</v>
      </c>
      <c r="B1615" s="115">
        <v>840</v>
      </c>
      <c r="C1615" s="8" t="s">
        <v>225</v>
      </c>
      <c r="D1615" s="8" t="s">
        <v>229</v>
      </c>
      <c r="E1615" s="115"/>
      <c r="F1615" s="115"/>
      <c r="G1615" s="70">
        <f>G1616+G1621</f>
        <v>15968.1</v>
      </c>
      <c r="H1615" s="70">
        <f>H1616+H1621</f>
        <v>0</v>
      </c>
      <c r="I1615" s="70">
        <f t="shared" si="322"/>
        <v>15968.1</v>
      </c>
      <c r="J1615" s="70">
        <f>J1616+J1621</f>
        <v>0</v>
      </c>
      <c r="K1615" s="87">
        <f t="shared" si="331"/>
        <v>15968.1</v>
      </c>
      <c r="L1615" s="13">
        <f>L1616+L1621</f>
        <v>-0.6</v>
      </c>
      <c r="M1615" s="87">
        <f t="shared" si="327"/>
        <v>15967.5</v>
      </c>
      <c r="N1615" s="13">
        <f>N1616+N1621</f>
        <v>0</v>
      </c>
      <c r="O1615" s="87">
        <f t="shared" si="328"/>
        <v>15967.5</v>
      </c>
      <c r="P1615" s="13">
        <f>P1616+P1621</f>
        <v>0</v>
      </c>
      <c r="Q1615" s="87">
        <f t="shared" si="333"/>
        <v>15967.5</v>
      </c>
      <c r="R1615" s="13">
        <f>R1616+R1621</f>
        <v>0</v>
      </c>
      <c r="S1615" s="87">
        <f t="shared" si="330"/>
        <v>15967.5</v>
      </c>
    </row>
    <row r="1616" spans="1:19" ht="33">
      <c r="A1616" s="62" t="str">
        <f ca="1">IF(ISERROR(MATCH(E1616,Код_КЦСР,0)),"",INDIRECT(ADDRESS(MATCH(E1616,Код_КЦСР,0)+1,2,,,"КЦСР")))</f>
        <v>Муниципальная программа «Охрана окружающей среды» на 2013-2022 годы</v>
      </c>
      <c r="B1616" s="115">
        <v>840</v>
      </c>
      <c r="C1616" s="8" t="s">
        <v>225</v>
      </c>
      <c r="D1616" s="8" t="s">
        <v>229</v>
      </c>
      <c r="E1616" s="115" t="s">
        <v>547</v>
      </c>
      <c r="F1616" s="115"/>
      <c r="G1616" s="70">
        <f aca="true" t="shared" si="334" ref="G1616:R1619">G1617</f>
        <v>4795</v>
      </c>
      <c r="H1616" s="70">
        <f t="shared" si="334"/>
        <v>0</v>
      </c>
      <c r="I1616" s="70">
        <f t="shared" si="322"/>
        <v>4795</v>
      </c>
      <c r="J1616" s="70">
        <f t="shared" si="334"/>
        <v>0</v>
      </c>
      <c r="K1616" s="87">
        <f t="shared" si="331"/>
        <v>4795</v>
      </c>
      <c r="L1616" s="13">
        <f t="shared" si="334"/>
        <v>-0.6</v>
      </c>
      <c r="M1616" s="87">
        <f t="shared" si="327"/>
        <v>4794.4</v>
      </c>
      <c r="N1616" s="13">
        <f t="shared" si="334"/>
        <v>0</v>
      </c>
      <c r="O1616" s="87">
        <f t="shared" si="328"/>
        <v>4794.4</v>
      </c>
      <c r="P1616" s="13">
        <f t="shared" si="334"/>
        <v>0</v>
      </c>
      <c r="Q1616" s="87">
        <f t="shared" si="333"/>
        <v>4794.4</v>
      </c>
      <c r="R1616" s="13">
        <f t="shared" si="334"/>
        <v>0</v>
      </c>
      <c r="S1616" s="87">
        <f t="shared" si="330"/>
        <v>4794.4</v>
      </c>
    </row>
    <row r="1617" spans="1:19" ht="33">
      <c r="A1617" s="62" t="str">
        <f ca="1">IF(ISERROR(MATCH(E1617,Код_КЦСР,0)),"",INDIRECT(ADDRESS(MATCH(E1617,Код_КЦСР,0)+1,2,,,"КЦСР")))</f>
        <v>Сбор и анализ информации о факторах окружающей среды и оценка их влияния на здоровье населения</v>
      </c>
      <c r="B1617" s="115">
        <v>840</v>
      </c>
      <c r="C1617" s="8" t="s">
        <v>225</v>
      </c>
      <c r="D1617" s="8" t="s">
        <v>229</v>
      </c>
      <c r="E1617" s="115" t="s">
        <v>549</v>
      </c>
      <c r="F1617" s="115"/>
      <c r="G1617" s="70">
        <f t="shared" si="334"/>
        <v>4795</v>
      </c>
      <c r="H1617" s="70">
        <f t="shared" si="334"/>
        <v>0</v>
      </c>
      <c r="I1617" s="70">
        <f t="shared" si="322"/>
        <v>4795</v>
      </c>
      <c r="J1617" s="70">
        <f t="shared" si="334"/>
        <v>0</v>
      </c>
      <c r="K1617" s="87">
        <f t="shared" si="331"/>
        <v>4795</v>
      </c>
      <c r="L1617" s="13">
        <f t="shared" si="334"/>
        <v>-0.6</v>
      </c>
      <c r="M1617" s="87">
        <f t="shared" si="327"/>
        <v>4794.4</v>
      </c>
      <c r="N1617" s="13">
        <f t="shared" si="334"/>
        <v>0</v>
      </c>
      <c r="O1617" s="87">
        <f t="shared" si="328"/>
        <v>4794.4</v>
      </c>
      <c r="P1617" s="13">
        <f t="shared" si="334"/>
        <v>0</v>
      </c>
      <c r="Q1617" s="87">
        <f t="shared" si="333"/>
        <v>4794.4</v>
      </c>
      <c r="R1617" s="13">
        <f t="shared" si="334"/>
        <v>0</v>
      </c>
      <c r="S1617" s="87">
        <f t="shared" si="330"/>
        <v>4794.4</v>
      </c>
    </row>
    <row r="1618" spans="1:19" ht="12.75">
      <c r="A1618" s="62" t="str">
        <f ca="1">IF(ISERROR(MATCH(F1618,Код_КВР,0)),"",INDIRECT(ADDRESS(MATCH(F1618,Код_КВР,0)+1,2,,,"КВР")))</f>
        <v>Закупка товаров, работ и услуг для муниципальных нужд</v>
      </c>
      <c r="B1618" s="115">
        <v>840</v>
      </c>
      <c r="C1618" s="8" t="s">
        <v>225</v>
      </c>
      <c r="D1618" s="8" t="s">
        <v>229</v>
      </c>
      <c r="E1618" s="115" t="s">
        <v>549</v>
      </c>
      <c r="F1618" s="115">
        <v>200</v>
      </c>
      <c r="G1618" s="70">
        <f t="shared" si="334"/>
        <v>4795</v>
      </c>
      <c r="H1618" s="70">
        <f t="shared" si="334"/>
        <v>0</v>
      </c>
      <c r="I1618" s="70">
        <f t="shared" si="322"/>
        <v>4795</v>
      </c>
      <c r="J1618" s="70">
        <f t="shared" si="334"/>
        <v>0</v>
      </c>
      <c r="K1618" s="87">
        <f t="shared" si="331"/>
        <v>4795</v>
      </c>
      <c r="L1618" s="13">
        <f t="shared" si="334"/>
        <v>-0.6</v>
      </c>
      <c r="M1618" s="87">
        <f t="shared" si="327"/>
        <v>4794.4</v>
      </c>
      <c r="N1618" s="13">
        <f t="shared" si="334"/>
        <v>0</v>
      </c>
      <c r="O1618" s="87">
        <f t="shared" si="328"/>
        <v>4794.4</v>
      </c>
      <c r="P1618" s="13">
        <f t="shared" si="334"/>
        <v>0</v>
      </c>
      <c r="Q1618" s="87">
        <f t="shared" si="333"/>
        <v>4794.4</v>
      </c>
      <c r="R1618" s="13">
        <f t="shared" si="334"/>
        <v>0</v>
      </c>
      <c r="S1618" s="87">
        <f t="shared" si="330"/>
        <v>4794.4</v>
      </c>
    </row>
    <row r="1619" spans="1:19" ht="33">
      <c r="A1619" s="62" t="str">
        <f ca="1">IF(ISERROR(MATCH(F1619,Код_КВР,0)),"",INDIRECT(ADDRESS(MATCH(F1619,Код_КВР,0)+1,2,,,"КВР")))</f>
        <v>Иные закупки товаров, работ и услуг для обеспечения муниципальных нужд</v>
      </c>
      <c r="B1619" s="115">
        <v>840</v>
      </c>
      <c r="C1619" s="8" t="s">
        <v>225</v>
      </c>
      <c r="D1619" s="8" t="s">
        <v>229</v>
      </c>
      <c r="E1619" s="115" t="s">
        <v>549</v>
      </c>
      <c r="F1619" s="115">
        <v>240</v>
      </c>
      <c r="G1619" s="70">
        <f t="shared" si="334"/>
        <v>4795</v>
      </c>
      <c r="H1619" s="70">
        <f t="shared" si="334"/>
        <v>0</v>
      </c>
      <c r="I1619" s="70">
        <f t="shared" si="322"/>
        <v>4795</v>
      </c>
      <c r="J1619" s="70">
        <f t="shared" si="334"/>
        <v>0</v>
      </c>
      <c r="K1619" s="87">
        <f t="shared" si="331"/>
        <v>4795</v>
      </c>
      <c r="L1619" s="13">
        <f t="shared" si="334"/>
        <v>-0.6</v>
      </c>
      <c r="M1619" s="87">
        <f t="shared" si="327"/>
        <v>4794.4</v>
      </c>
      <c r="N1619" s="13">
        <f t="shared" si="334"/>
        <v>0</v>
      </c>
      <c r="O1619" s="87">
        <f t="shared" si="328"/>
        <v>4794.4</v>
      </c>
      <c r="P1619" s="13">
        <f t="shared" si="334"/>
        <v>0</v>
      </c>
      <c r="Q1619" s="87">
        <f t="shared" si="333"/>
        <v>4794.4</v>
      </c>
      <c r="R1619" s="13">
        <f t="shared" si="334"/>
        <v>0</v>
      </c>
      <c r="S1619" s="87">
        <f t="shared" si="330"/>
        <v>4794.4</v>
      </c>
    </row>
    <row r="1620" spans="1:19" ht="33">
      <c r="A1620" s="62" t="str">
        <f ca="1">IF(ISERROR(MATCH(F1620,Код_КВР,0)),"",INDIRECT(ADDRESS(MATCH(F1620,Код_КВР,0)+1,2,,,"КВР")))</f>
        <v xml:space="preserve">Прочая закупка товаров, работ и услуг для обеспечения муниципальных нужд         </v>
      </c>
      <c r="B1620" s="115">
        <v>840</v>
      </c>
      <c r="C1620" s="8" t="s">
        <v>225</v>
      </c>
      <c r="D1620" s="8" t="s">
        <v>229</v>
      </c>
      <c r="E1620" s="115" t="s">
        <v>549</v>
      </c>
      <c r="F1620" s="115">
        <v>244</v>
      </c>
      <c r="G1620" s="70">
        <v>4795</v>
      </c>
      <c r="H1620" s="70"/>
      <c r="I1620" s="70">
        <f t="shared" si="322"/>
        <v>4795</v>
      </c>
      <c r="J1620" s="70"/>
      <c r="K1620" s="87">
        <f t="shared" si="331"/>
        <v>4795</v>
      </c>
      <c r="L1620" s="13">
        <v>-0.6</v>
      </c>
      <c r="M1620" s="87">
        <f t="shared" si="327"/>
        <v>4794.4</v>
      </c>
      <c r="N1620" s="13"/>
      <c r="O1620" s="87">
        <f t="shared" si="328"/>
        <v>4794.4</v>
      </c>
      <c r="P1620" s="13"/>
      <c r="Q1620" s="87">
        <f t="shared" si="333"/>
        <v>4794.4</v>
      </c>
      <c r="R1620" s="13"/>
      <c r="S1620" s="87">
        <f t="shared" si="330"/>
        <v>4794.4</v>
      </c>
    </row>
    <row r="1621" spans="1:19" ht="33">
      <c r="A1621" s="62" t="str">
        <f ca="1">IF(ISERROR(MATCH(E1621,Код_КЦСР,0)),"",INDIRECT(ADDRESS(MATCH(E1621,Код_КЦСР,0)+1,2,,,"КЦСР")))</f>
        <v>Непрограммные направления деятельности органов местного самоуправления</v>
      </c>
      <c r="B1621" s="115">
        <v>840</v>
      </c>
      <c r="C1621" s="8" t="s">
        <v>225</v>
      </c>
      <c r="D1621" s="8" t="s">
        <v>229</v>
      </c>
      <c r="E1621" s="115" t="s">
        <v>307</v>
      </c>
      <c r="F1621" s="115"/>
      <c r="G1621" s="70">
        <f aca="true" t="shared" si="335" ref="G1621:R1623">G1622</f>
        <v>11173.1</v>
      </c>
      <c r="H1621" s="70">
        <f t="shared" si="335"/>
        <v>0</v>
      </c>
      <c r="I1621" s="70">
        <f t="shared" si="322"/>
        <v>11173.1</v>
      </c>
      <c r="J1621" s="70">
        <f t="shared" si="335"/>
        <v>0</v>
      </c>
      <c r="K1621" s="87">
        <f t="shared" si="331"/>
        <v>11173.1</v>
      </c>
      <c r="L1621" s="13">
        <f t="shared" si="335"/>
        <v>0</v>
      </c>
      <c r="M1621" s="87">
        <f t="shared" si="327"/>
        <v>11173.1</v>
      </c>
      <c r="N1621" s="13">
        <f t="shared" si="335"/>
        <v>0</v>
      </c>
      <c r="O1621" s="87">
        <f t="shared" si="328"/>
        <v>11173.1</v>
      </c>
      <c r="P1621" s="13">
        <f t="shared" si="335"/>
        <v>0</v>
      </c>
      <c r="Q1621" s="87">
        <f t="shared" si="333"/>
        <v>11173.1</v>
      </c>
      <c r="R1621" s="13">
        <f t="shared" si="335"/>
        <v>0</v>
      </c>
      <c r="S1621" s="87">
        <f t="shared" si="330"/>
        <v>11173.1</v>
      </c>
    </row>
    <row r="1622" spans="1:19" ht="12.75">
      <c r="A1622" s="62" t="str">
        <f ca="1">IF(ISERROR(MATCH(E1622,Код_КЦСР,0)),"",INDIRECT(ADDRESS(MATCH(E1622,Код_КЦСР,0)+1,2,,,"КЦСР")))</f>
        <v>Расходы, не включенные в муниципальные программы города Череповца</v>
      </c>
      <c r="B1622" s="115">
        <v>840</v>
      </c>
      <c r="C1622" s="8" t="s">
        <v>225</v>
      </c>
      <c r="D1622" s="8" t="s">
        <v>229</v>
      </c>
      <c r="E1622" s="115" t="s">
        <v>309</v>
      </c>
      <c r="F1622" s="115"/>
      <c r="G1622" s="70">
        <f t="shared" si="335"/>
        <v>11173.1</v>
      </c>
      <c r="H1622" s="70">
        <f t="shared" si="335"/>
        <v>0</v>
      </c>
      <c r="I1622" s="70">
        <f t="shared" si="322"/>
        <v>11173.1</v>
      </c>
      <c r="J1622" s="70">
        <f t="shared" si="335"/>
        <v>0</v>
      </c>
      <c r="K1622" s="87">
        <f t="shared" si="331"/>
        <v>11173.1</v>
      </c>
      <c r="L1622" s="13">
        <f t="shared" si="335"/>
        <v>0</v>
      </c>
      <c r="M1622" s="87">
        <f t="shared" si="327"/>
        <v>11173.1</v>
      </c>
      <c r="N1622" s="13">
        <f t="shared" si="335"/>
        <v>0</v>
      </c>
      <c r="O1622" s="87">
        <f t="shared" si="328"/>
        <v>11173.1</v>
      </c>
      <c r="P1622" s="13">
        <f t="shared" si="335"/>
        <v>0</v>
      </c>
      <c r="Q1622" s="87">
        <f t="shared" si="333"/>
        <v>11173.1</v>
      </c>
      <c r="R1622" s="13">
        <f t="shared" si="335"/>
        <v>0</v>
      </c>
      <c r="S1622" s="87">
        <f t="shared" si="330"/>
        <v>11173.1</v>
      </c>
    </row>
    <row r="1623" spans="1:19" ht="33">
      <c r="A1623" s="62" t="str">
        <f ca="1">IF(ISERROR(MATCH(E1623,Код_КЦСР,0)),"",INDIRECT(ADDRESS(MATCH(E1623,Код_КЦСР,0)+1,2,,,"КЦСР")))</f>
        <v>Руководство и управление в сфере установленных функций органов местного самоуправления</v>
      </c>
      <c r="B1623" s="115">
        <v>840</v>
      </c>
      <c r="C1623" s="8" t="s">
        <v>225</v>
      </c>
      <c r="D1623" s="8" t="s">
        <v>229</v>
      </c>
      <c r="E1623" s="115" t="s">
        <v>311</v>
      </c>
      <c r="F1623" s="115"/>
      <c r="G1623" s="70">
        <f t="shared" si="335"/>
        <v>11173.1</v>
      </c>
      <c r="H1623" s="70">
        <f t="shared" si="335"/>
        <v>0</v>
      </c>
      <c r="I1623" s="70">
        <f t="shared" si="322"/>
        <v>11173.1</v>
      </c>
      <c r="J1623" s="70">
        <f t="shared" si="335"/>
        <v>0</v>
      </c>
      <c r="K1623" s="87">
        <f t="shared" si="331"/>
        <v>11173.1</v>
      </c>
      <c r="L1623" s="13">
        <f t="shared" si="335"/>
        <v>0</v>
      </c>
      <c r="M1623" s="87">
        <f t="shared" si="327"/>
        <v>11173.1</v>
      </c>
      <c r="N1623" s="13">
        <f t="shared" si="335"/>
        <v>0</v>
      </c>
      <c r="O1623" s="87">
        <f t="shared" si="328"/>
        <v>11173.1</v>
      </c>
      <c r="P1623" s="13">
        <f t="shared" si="335"/>
        <v>0</v>
      </c>
      <c r="Q1623" s="87">
        <f t="shared" si="333"/>
        <v>11173.1</v>
      </c>
      <c r="R1623" s="13">
        <f t="shared" si="335"/>
        <v>0</v>
      </c>
      <c r="S1623" s="87">
        <f t="shared" si="330"/>
        <v>11173.1</v>
      </c>
    </row>
    <row r="1624" spans="1:19" ht="12.75">
      <c r="A1624" s="62" t="str">
        <f ca="1">IF(ISERROR(MATCH(E1624,Код_КЦСР,0)),"",INDIRECT(ADDRESS(MATCH(E1624,Код_КЦСР,0)+1,2,,,"КЦСР")))</f>
        <v>Центральный аппарат</v>
      </c>
      <c r="B1624" s="115">
        <v>840</v>
      </c>
      <c r="C1624" s="8" t="s">
        <v>225</v>
      </c>
      <c r="D1624" s="8" t="s">
        <v>229</v>
      </c>
      <c r="E1624" s="115" t="s">
        <v>314</v>
      </c>
      <c r="F1624" s="115"/>
      <c r="G1624" s="70">
        <f>G1625+G1627+G1630</f>
        <v>11173.1</v>
      </c>
      <c r="H1624" s="70">
        <f>H1625+H1627+H1630</f>
        <v>0</v>
      </c>
      <c r="I1624" s="70">
        <f t="shared" si="322"/>
        <v>11173.1</v>
      </c>
      <c r="J1624" s="70">
        <f>J1625+J1627+J1630</f>
        <v>0</v>
      </c>
      <c r="K1624" s="87">
        <f t="shared" si="331"/>
        <v>11173.1</v>
      </c>
      <c r="L1624" s="13">
        <f>L1625+L1627+L1630</f>
        <v>0</v>
      </c>
      <c r="M1624" s="87">
        <f t="shared" si="327"/>
        <v>11173.1</v>
      </c>
      <c r="N1624" s="13">
        <f>N1625+N1627+N1630</f>
        <v>0</v>
      </c>
      <c r="O1624" s="87">
        <f t="shared" si="328"/>
        <v>11173.1</v>
      </c>
      <c r="P1624" s="13">
        <f>P1625+P1627+P1630</f>
        <v>0</v>
      </c>
      <c r="Q1624" s="87">
        <f t="shared" si="333"/>
        <v>11173.1</v>
      </c>
      <c r="R1624" s="13">
        <f>R1625+R1627+R1630</f>
        <v>0</v>
      </c>
      <c r="S1624" s="87">
        <f t="shared" si="330"/>
        <v>11173.1</v>
      </c>
    </row>
    <row r="1625" spans="1:19" ht="33">
      <c r="A1625" s="62" t="str">
        <f aca="true" t="shared" si="336" ref="A1625:A1631">IF(ISERROR(MATCH(F1625,Код_КВР,0)),"",INDIRECT(ADDRESS(MATCH(F1625,Код_КВР,0)+1,2,,,"КВР")))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25" s="115">
        <v>840</v>
      </c>
      <c r="C1625" s="8" t="s">
        <v>225</v>
      </c>
      <c r="D1625" s="8" t="s">
        <v>229</v>
      </c>
      <c r="E1625" s="115" t="s">
        <v>314</v>
      </c>
      <c r="F1625" s="115">
        <v>100</v>
      </c>
      <c r="G1625" s="70">
        <f>G1626</f>
        <v>11155.7</v>
      </c>
      <c r="H1625" s="70">
        <f>H1626</f>
        <v>0</v>
      </c>
      <c r="I1625" s="70">
        <f t="shared" si="322"/>
        <v>11155.7</v>
      </c>
      <c r="J1625" s="70">
        <f>J1626</f>
        <v>0</v>
      </c>
      <c r="K1625" s="87">
        <f t="shared" si="331"/>
        <v>11155.7</v>
      </c>
      <c r="L1625" s="13">
        <f>L1626</f>
        <v>0</v>
      </c>
      <c r="M1625" s="87">
        <f t="shared" si="327"/>
        <v>11155.7</v>
      </c>
      <c r="N1625" s="13">
        <f>N1626</f>
        <v>0</v>
      </c>
      <c r="O1625" s="87">
        <f t="shared" si="328"/>
        <v>11155.7</v>
      </c>
      <c r="P1625" s="13">
        <f>P1626</f>
        <v>0</v>
      </c>
      <c r="Q1625" s="87">
        <f t="shared" si="333"/>
        <v>11155.7</v>
      </c>
      <c r="R1625" s="13">
        <f>R1626</f>
        <v>0</v>
      </c>
      <c r="S1625" s="87">
        <f t="shared" si="330"/>
        <v>11155.7</v>
      </c>
    </row>
    <row r="1626" spans="1:19" ht="12.75">
      <c r="A1626" s="62" t="str">
        <f ca="1" t="shared" si="336"/>
        <v>Расходы на выплаты персоналу муниципальных органов</v>
      </c>
      <c r="B1626" s="115">
        <v>840</v>
      </c>
      <c r="C1626" s="8" t="s">
        <v>225</v>
      </c>
      <c r="D1626" s="8" t="s">
        <v>229</v>
      </c>
      <c r="E1626" s="115" t="s">
        <v>314</v>
      </c>
      <c r="F1626" s="115">
        <v>120</v>
      </c>
      <c r="G1626" s="70">
        <v>11155.7</v>
      </c>
      <c r="H1626" s="70"/>
      <c r="I1626" s="70">
        <f t="shared" si="322"/>
        <v>11155.7</v>
      </c>
      <c r="J1626" s="70"/>
      <c r="K1626" s="87">
        <f t="shared" si="331"/>
        <v>11155.7</v>
      </c>
      <c r="L1626" s="13"/>
      <c r="M1626" s="87">
        <f t="shared" si="327"/>
        <v>11155.7</v>
      </c>
      <c r="N1626" s="13"/>
      <c r="O1626" s="87">
        <f t="shared" si="328"/>
        <v>11155.7</v>
      </c>
      <c r="P1626" s="13"/>
      <c r="Q1626" s="87">
        <f t="shared" si="333"/>
        <v>11155.7</v>
      </c>
      <c r="R1626" s="13"/>
      <c r="S1626" s="87">
        <f t="shared" si="330"/>
        <v>11155.7</v>
      </c>
    </row>
    <row r="1627" spans="1:19" ht="12.75">
      <c r="A1627" s="62" t="str">
        <f ca="1" t="shared" si="336"/>
        <v>Закупка товаров, работ и услуг для муниципальных нужд</v>
      </c>
      <c r="B1627" s="115">
        <v>840</v>
      </c>
      <c r="C1627" s="8" t="s">
        <v>225</v>
      </c>
      <c r="D1627" s="8" t="s">
        <v>229</v>
      </c>
      <c r="E1627" s="115" t="s">
        <v>314</v>
      </c>
      <c r="F1627" s="115">
        <v>200</v>
      </c>
      <c r="G1627" s="70">
        <f>G1628</f>
        <v>15.4</v>
      </c>
      <c r="H1627" s="70">
        <f>H1628</f>
        <v>0</v>
      </c>
      <c r="I1627" s="70">
        <f t="shared" si="322"/>
        <v>15.4</v>
      </c>
      <c r="J1627" s="70">
        <f>J1628</f>
        <v>0</v>
      </c>
      <c r="K1627" s="87">
        <f t="shared" si="331"/>
        <v>15.4</v>
      </c>
      <c r="L1627" s="13">
        <f>L1628</f>
        <v>0</v>
      </c>
      <c r="M1627" s="87">
        <f t="shared" si="327"/>
        <v>15.4</v>
      </c>
      <c r="N1627" s="13">
        <f>N1628</f>
        <v>0</v>
      </c>
      <c r="O1627" s="87">
        <f t="shared" si="328"/>
        <v>15.4</v>
      </c>
      <c r="P1627" s="13">
        <f>P1628</f>
        <v>0</v>
      </c>
      <c r="Q1627" s="87">
        <f t="shared" si="333"/>
        <v>15.4</v>
      </c>
      <c r="R1627" s="13">
        <f>R1628</f>
        <v>0</v>
      </c>
      <c r="S1627" s="87">
        <f t="shared" si="330"/>
        <v>15.4</v>
      </c>
    </row>
    <row r="1628" spans="1:19" ht="33">
      <c r="A1628" s="62" t="str">
        <f ca="1" t="shared" si="336"/>
        <v>Иные закупки товаров, работ и услуг для обеспечения муниципальных нужд</v>
      </c>
      <c r="B1628" s="115">
        <v>840</v>
      </c>
      <c r="C1628" s="8" t="s">
        <v>225</v>
      </c>
      <c r="D1628" s="8" t="s">
        <v>229</v>
      </c>
      <c r="E1628" s="115" t="s">
        <v>314</v>
      </c>
      <c r="F1628" s="115">
        <v>240</v>
      </c>
      <c r="G1628" s="70">
        <f>G1629</f>
        <v>15.4</v>
      </c>
      <c r="H1628" s="70">
        <f>H1629</f>
        <v>0</v>
      </c>
      <c r="I1628" s="70">
        <f t="shared" si="322"/>
        <v>15.4</v>
      </c>
      <c r="J1628" s="70">
        <f>J1629</f>
        <v>0</v>
      </c>
      <c r="K1628" s="87">
        <f t="shared" si="331"/>
        <v>15.4</v>
      </c>
      <c r="L1628" s="13">
        <f>L1629</f>
        <v>0</v>
      </c>
      <c r="M1628" s="87">
        <f t="shared" si="327"/>
        <v>15.4</v>
      </c>
      <c r="N1628" s="13">
        <f>N1629</f>
        <v>0</v>
      </c>
      <c r="O1628" s="87">
        <f t="shared" si="328"/>
        <v>15.4</v>
      </c>
      <c r="P1628" s="13">
        <f>P1629</f>
        <v>0</v>
      </c>
      <c r="Q1628" s="87">
        <f t="shared" si="333"/>
        <v>15.4</v>
      </c>
      <c r="R1628" s="13">
        <f>R1629</f>
        <v>0</v>
      </c>
      <c r="S1628" s="87">
        <f t="shared" si="330"/>
        <v>15.4</v>
      </c>
    </row>
    <row r="1629" spans="1:19" ht="33">
      <c r="A1629" s="62" t="str">
        <f ca="1" t="shared" si="336"/>
        <v xml:space="preserve">Прочая закупка товаров, работ и услуг для обеспечения муниципальных нужд         </v>
      </c>
      <c r="B1629" s="115">
        <v>840</v>
      </c>
      <c r="C1629" s="8" t="s">
        <v>225</v>
      </c>
      <c r="D1629" s="8" t="s">
        <v>229</v>
      </c>
      <c r="E1629" s="115" t="s">
        <v>314</v>
      </c>
      <c r="F1629" s="115">
        <v>244</v>
      </c>
      <c r="G1629" s="70">
        <v>15.4</v>
      </c>
      <c r="H1629" s="70"/>
      <c r="I1629" s="70">
        <f t="shared" si="322"/>
        <v>15.4</v>
      </c>
      <c r="J1629" s="70"/>
      <c r="K1629" s="87">
        <f t="shared" si="331"/>
        <v>15.4</v>
      </c>
      <c r="L1629" s="13"/>
      <c r="M1629" s="87">
        <f t="shared" si="327"/>
        <v>15.4</v>
      </c>
      <c r="N1629" s="13"/>
      <c r="O1629" s="87">
        <f t="shared" si="328"/>
        <v>15.4</v>
      </c>
      <c r="P1629" s="13"/>
      <c r="Q1629" s="87">
        <f t="shared" si="333"/>
        <v>15.4</v>
      </c>
      <c r="R1629" s="13"/>
      <c r="S1629" s="87">
        <f t="shared" si="330"/>
        <v>15.4</v>
      </c>
    </row>
    <row r="1630" spans="1:19" ht="12.75">
      <c r="A1630" s="62" t="str">
        <f ca="1" t="shared" si="336"/>
        <v>Иные бюджетные ассигнования</v>
      </c>
      <c r="B1630" s="115">
        <v>840</v>
      </c>
      <c r="C1630" s="8" t="s">
        <v>225</v>
      </c>
      <c r="D1630" s="8" t="s">
        <v>229</v>
      </c>
      <c r="E1630" s="115" t="s">
        <v>314</v>
      </c>
      <c r="F1630" s="115">
        <v>800</v>
      </c>
      <c r="G1630" s="70">
        <f>G1631</f>
        <v>2</v>
      </c>
      <c r="H1630" s="70">
        <f>H1631</f>
        <v>0</v>
      </c>
      <c r="I1630" s="70">
        <f t="shared" si="322"/>
        <v>2</v>
      </c>
      <c r="J1630" s="70">
        <f>J1631</f>
        <v>0</v>
      </c>
      <c r="K1630" s="87">
        <f t="shared" si="331"/>
        <v>2</v>
      </c>
      <c r="L1630" s="13">
        <f>L1631</f>
        <v>0</v>
      </c>
      <c r="M1630" s="87">
        <f t="shared" si="327"/>
        <v>2</v>
      </c>
      <c r="N1630" s="13">
        <f>N1631</f>
        <v>0</v>
      </c>
      <c r="O1630" s="87">
        <f t="shared" si="328"/>
        <v>2</v>
      </c>
      <c r="P1630" s="13">
        <f>P1631</f>
        <v>0</v>
      </c>
      <c r="Q1630" s="87">
        <f t="shared" si="333"/>
        <v>2</v>
      </c>
      <c r="R1630" s="13">
        <f>R1631</f>
        <v>0</v>
      </c>
      <c r="S1630" s="87">
        <f t="shared" si="330"/>
        <v>2</v>
      </c>
    </row>
    <row r="1631" spans="1:19" ht="12.75">
      <c r="A1631" s="62" t="str">
        <f ca="1" t="shared" si="336"/>
        <v>Уплата налогов, сборов и иных платежей</v>
      </c>
      <c r="B1631" s="115">
        <v>840</v>
      </c>
      <c r="C1631" s="8" t="s">
        <v>225</v>
      </c>
      <c r="D1631" s="8" t="s">
        <v>229</v>
      </c>
      <c r="E1631" s="115" t="s">
        <v>314</v>
      </c>
      <c r="F1631" s="115">
        <v>850</v>
      </c>
      <c r="G1631" s="70">
        <f>G1632</f>
        <v>2</v>
      </c>
      <c r="H1631" s="70">
        <f>H1632</f>
        <v>0</v>
      </c>
      <c r="I1631" s="70">
        <f t="shared" si="322"/>
        <v>2</v>
      </c>
      <c r="J1631" s="70">
        <f>J1632</f>
        <v>0</v>
      </c>
      <c r="K1631" s="87">
        <f t="shared" si="331"/>
        <v>2</v>
      </c>
      <c r="L1631" s="13">
        <f>L1632</f>
        <v>0</v>
      </c>
      <c r="M1631" s="87">
        <f t="shared" si="327"/>
        <v>2</v>
      </c>
      <c r="N1631" s="13">
        <f>N1632</f>
        <v>0</v>
      </c>
      <c r="O1631" s="87">
        <f t="shared" si="328"/>
        <v>2</v>
      </c>
      <c r="P1631" s="13">
        <f>P1632</f>
        <v>0</v>
      </c>
      <c r="Q1631" s="87">
        <f t="shared" si="333"/>
        <v>2</v>
      </c>
      <c r="R1631" s="13">
        <f>R1632</f>
        <v>0</v>
      </c>
      <c r="S1631" s="87">
        <f t="shared" si="330"/>
        <v>2</v>
      </c>
    </row>
    <row r="1632" spans="1:19" ht="12.75">
      <c r="A1632" s="62" t="str">
        <f ca="1">IF(ISERROR(MATCH(F1632,Код_КВР,0)),"",INDIRECT(ADDRESS(MATCH(F1632,Код_КВР,0)+1,2,,,"КВР")))</f>
        <v>Уплата прочих налогов, сборов и иных платежей</v>
      </c>
      <c r="B1632" s="115">
        <v>840</v>
      </c>
      <c r="C1632" s="8" t="s">
        <v>225</v>
      </c>
      <c r="D1632" s="8" t="s">
        <v>229</v>
      </c>
      <c r="E1632" s="115" t="s">
        <v>314</v>
      </c>
      <c r="F1632" s="115">
        <v>852</v>
      </c>
      <c r="G1632" s="70">
        <v>2</v>
      </c>
      <c r="H1632" s="70"/>
      <c r="I1632" s="70">
        <f t="shared" si="322"/>
        <v>2</v>
      </c>
      <c r="J1632" s="70"/>
      <c r="K1632" s="87">
        <f t="shared" si="331"/>
        <v>2</v>
      </c>
      <c r="L1632" s="13"/>
      <c r="M1632" s="87">
        <f t="shared" si="327"/>
        <v>2</v>
      </c>
      <c r="N1632" s="13"/>
      <c r="O1632" s="87">
        <f t="shared" si="328"/>
        <v>2</v>
      </c>
      <c r="P1632" s="13"/>
      <c r="Q1632" s="87">
        <f t="shared" si="333"/>
        <v>2</v>
      </c>
      <c r="R1632" s="13"/>
      <c r="S1632" s="87">
        <f t="shared" si="330"/>
        <v>2</v>
      </c>
    </row>
    <row r="1633" spans="1:19" ht="12.75">
      <c r="A1633" s="62" t="s">
        <v>174</v>
      </c>
      <c r="B1633" s="116"/>
      <c r="C1633" s="116"/>
      <c r="D1633" s="116"/>
      <c r="E1633" s="115"/>
      <c r="F1633" s="115"/>
      <c r="G1633" s="65">
        <f>G21+G385+G407+G540+G565+G843+G892+G1137+G1231+G1382+G1604</f>
        <v>6670495.899999999</v>
      </c>
      <c r="H1633" s="65">
        <f>H21+H385+H407+H540+H565+H843+H892+H1137+H1231+H1382+H1604</f>
        <v>-22308.3</v>
      </c>
      <c r="I1633" s="70">
        <f>G1633+H1633</f>
        <v>6648187.6</v>
      </c>
      <c r="J1633" s="65">
        <f>J21+J385+J407+J540+J565+J843+J892+J1137+J1231+J1382+J1604+J1589</f>
        <v>0</v>
      </c>
      <c r="K1633" s="87">
        <f t="shared" si="331"/>
        <v>6648187.6</v>
      </c>
      <c r="L1633" s="87">
        <f>L21+L385+L407+L540+L565+L843+L892+L1137+L1231+L1382+L1604+L1589</f>
        <v>-64999.999999999985</v>
      </c>
      <c r="M1633" s="87">
        <f t="shared" si="327"/>
        <v>6583187.6</v>
      </c>
      <c r="N1633" s="87">
        <f>N21+N385+N407+N540+N565+N843+N892+N1137+N1231+N1382+N1604+N1589</f>
        <v>-939.5999999999999</v>
      </c>
      <c r="O1633" s="87">
        <f>M1633+N1633</f>
        <v>6582248</v>
      </c>
      <c r="P1633" s="87">
        <f>P21+P385+P407+P540+P565+P843+P892+P1137+P1231+P1382+P1604+P1589</f>
        <v>12800</v>
      </c>
      <c r="Q1633" s="87">
        <f t="shared" si="333"/>
        <v>6595048</v>
      </c>
      <c r="R1633" s="87">
        <f>R21+R385+R407+R540+R565+R843+R892+R1137+R1231+R1382+R1604+R1589</f>
        <v>318523.4</v>
      </c>
      <c r="S1633" s="87">
        <f t="shared" si="330"/>
        <v>6913571.4</v>
      </c>
    </row>
    <row r="1634" spans="5:7" ht="12.75">
      <c r="E1634" s="92"/>
      <c r="F1634" s="58"/>
      <c r="G1634" s="71"/>
    </row>
    <row r="1635" spans="5:15" ht="12.75">
      <c r="E1635" s="92"/>
      <c r="F1635" s="58"/>
      <c r="G1635" s="72"/>
      <c r="M1635" s="68"/>
      <c r="N1635" s="68"/>
      <c r="O1635" s="68"/>
    </row>
    <row r="1636" spans="5:15" ht="12.75">
      <c r="E1636" s="92"/>
      <c r="F1636" s="58"/>
      <c r="G1636" s="72"/>
      <c r="M1636" s="68"/>
      <c r="N1636" s="68"/>
      <c r="O1636" s="68"/>
    </row>
    <row r="1637" spans="17:19" ht="12.75">
      <c r="Q1637" s="21"/>
      <c r="R1637" s="21"/>
      <c r="S1637" s="119"/>
    </row>
    <row r="1638" spans="1:19" ht="12.75">
      <c r="A1638" s="92"/>
      <c r="E1638" s="92"/>
      <c r="G1638" s="92"/>
      <c r="Q1638" s="21"/>
      <c r="R1638" s="21"/>
      <c r="S1638" s="119"/>
    </row>
    <row r="1639" spans="17:19" ht="12.75">
      <c r="Q1639" s="21"/>
      <c r="R1639" s="21"/>
      <c r="S1639" s="119"/>
    </row>
    <row r="1641" ht="12.75">
      <c r="R1641" s="68"/>
    </row>
    <row r="1642" spans="1:17" ht="12.75">
      <c r="A1642" s="92"/>
      <c r="E1642" s="92"/>
      <c r="G1642" s="92"/>
      <c r="Q1642" s="92"/>
    </row>
    <row r="1643" spans="1:17" ht="12.75">
      <c r="A1643" s="92"/>
      <c r="E1643" s="92"/>
      <c r="G1643" s="92"/>
      <c r="Q1643" s="92"/>
    </row>
    <row r="1644" ht="12.75">
      <c r="R1644" s="94"/>
    </row>
  </sheetData>
  <mergeCells count="2">
    <mergeCell ref="A17:G17"/>
    <mergeCell ref="A16:G16"/>
  </mergeCells>
  <dataValidations count="4">
    <dataValidation type="list" allowBlank="1" showInputMessage="1" showErrorMessage="1" sqref="F21:F234 F236:F1633">
      <formula1>Код_КВР</formula1>
    </dataValidation>
    <dataValidation type="list" allowBlank="1" showInputMessage="1" showErrorMessage="1" sqref="B21:B1632">
      <formula1>Код_ППП</formula1>
    </dataValidation>
    <dataValidation type="list" allowBlank="1" showInputMessage="1" showErrorMessage="1" sqref="C21:C1632">
      <formula1>Код_Раздел</formula1>
    </dataValidation>
    <dataValidation type="list" allowBlank="1" showInputMessage="1" showErrorMessage="1" sqref="E21:E1633">
      <formula1>Код_КЦСР</formula1>
    </dataValidation>
  </dataValidations>
  <printOptions/>
  <pageMargins left="1.1811023622047245" right="0.3937007874015748" top="0.7874015748031497" bottom="0.7874015748031497" header="0.3937007874015748" footer="0.3937007874015748"/>
  <pageSetup fitToHeight="27" fitToWidth="1" horizontalDpi="600" verticalDpi="600" orientation="portrait" paperSize="9" scale="4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vostryakovalm</cp:lastModifiedBy>
  <cp:lastPrinted>2014-09-05T07:42:46Z</cp:lastPrinted>
  <dcterms:created xsi:type="dcterms:W3CDTF">2005-10-27T10:10:18Z</dcterms:created>
  <dcterms:modified xsi:type="dcterms:W3CDTF">2014-09-05T09:03:31Z</dcterms:modified>
  <cp:category/>
  <cp:version/>
  <cp:contentType/>
  <cp:contentStatus/>
</cp:coreProperties>
</file>