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12" sheetId="1" r:id="rId1"/>
    <sheet name="прил.14" sheetId="2" r:id="rId2"/>
    <sheet name="прил.16" sheetId="3" r:id="rId3"/>
  </sheets>
  <externalReferences>
    <externalReference r:id="rId6"/>
  </externalReferences>
  <definedNames>
    <definedName name="_xlnm.Print_Titles" localSheetId="0">'прил.12'!$19:$20</definedName>
    <definedName name="_xlnm.Print_Titles" localSheetId="1">'прил.14'!$14:$15</definedName>
    <definedName name="_xlnm.Print_Titles" localSheetId="2">'прил.16'!$14:$15</definedName>
    <definedName name="_xlnm.Print_Area" localSheetId="0">'прил.12'!$A$2:$F$82</definedName>
    <definedName name="_xlnm.Print_Area" localSheetId="1">'прил.14'!$A$1:$I$686</definedName>
    <definedName name="_xlnm.Print_Area" localSheetId="2">'прил.16'!$A$1:$I$1035</definedName>
  </definedNames>
  <calcPr fullCalcOnLoad="1"/>
</workbook>
</file>

<file path=xl/sharedStrings.xml><?xml version="1.0" encoding="utf-8"?>
<sst xmlns="http://schemas.openxmlformats.org/spreadsheetml/2006/main" count="7195" uniqueCount="829">
  <si>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</si>
  <si>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501</t>
  </si>
  <si>
    <t xml:space="preserve">   Функционирование органов в сфере национальной безопасности, правоохранительной деятельности и обороны</t>
  </si>
  <si>
    <t xml:space="preserve">  Военный персонал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</si>
  <si>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</si>
  <si>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</si>
  <si>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</si>
  <si>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</si>
  <si>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</si>
  <si>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 xml:space="preserve"> Постановление Череповецкой городской Думы от 27.09.2005 № 87 "О Положении о звании "Почетный гражданин города Череповца"</t>
  </si>
  <si>
    <t xml:space="preserve">   Постановление Череповецкой городской Думы от 27.09.2005 № 88 "О Положении о Почетном знаке "За особые заслуги перед городом Череповцом"</t>
  </si>
  <si>
    <t>Средства массовой информации</t>
  </si>
  <si>
    <t xml:space="preserve">   Субсидии некоммерческим организациям в области жилищно-коммунального хозяйства</t>
  </si>
  <si>
    <t xml:space="preserve">   Выполнение функций бюджетными учреждениями</t>
  </si>
  <si>
    <t>805</t>
  </si>
  <si>
    <t>Общегосударственные вопросы</t>
  </si>
  <si>
    <t>920</t>
  </si>
  <si>
    <t xml:space="preserve"> Строительство медицинского комплекса амбулаторного обслуживания населения в 8 мкр</t>
  </si>
  <si>
    <t xml:space="preserve"> Строительство детского сада  № 21 в 112 мкр. </t>
  </si>
  <si>
    <t>Капитальный ремонт здания по Северному шоссе,67</t>
  </si>
  <si>
    <t xml:space="preserve">  Реализация функций, связанных с общегосударственным управлением</t>
  </si>
  <si>
    <t xml:space="preserve">  Выполнение других обязательств органов местного самоуправления</t>
  </si>
  <si>
    <t xml:space="preserve">  Ведомственные целевые программы</t>
  </si>
  <si>
    <t>Условно утверждаемые расходы</t>
  </si>
  <si>
    <t>Всего расходов</t>
  </si>
  <si>
    <t xml:space="preserve">  Государственная автоматизированная информационная система "Выборы", повышение правовой культуры избирателей и обучение организаторов выборов </t>
  </si>
  <si>
    <t>020 04 00</t>
  </si>
  <si>
    <t>020 00 00</t>
  </si>
  <si>
    <t>525 02 00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</si>
  <si>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</si>
  <si>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</si>
  <si>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</si>
  <si>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</si>
  <si>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</si>
  <si>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</si>
  <si>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</si>
  <si>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r>
      <t xml:space="preserve"> </t>
    </r>
    <r>
      <rPr>
        <sz val="13"/>
        <color indexed="8"/>
        <rFont val="Times New Roman"/>
        <family val="1"/>
      </rPr>
      <t>Субсидии на реализацию долгосрочной целевой программы "Пожарная безопасность учреждений здравоохранения" на 2009-2012 годы</t>
    </r>
  </si>
  <si>
    <t xml:space="preserve"> Функционирование высшего должностного лица субъекта Российской Федерации и муниципального образования</t>
  </si>
  <si>
    <t>425 00 00</t>
  </si>
  <si>
    <t>425 99 00</t>
  </si>
  <si>
    <t>Начальное профессиональное образование</t>
  </si>
  <si>
    <t xml:space="preserve"> Профессионально-технические училища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</si>
  <si>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</si>
  <si>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</si>
  <si>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</si>
  <si>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</si>
  <si>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</si>
  <si>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   Центральный аппарат</t>
  </si>
  <si>
    <t>521 00 00</t>
  </si>
  <si>
    <t>521 02 00</t>
  </si>
  <si>
    <t xml:space="preserve"> 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</si>
  <si>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  Функционирование органов в сфере национальной безопасности и правоохранительной деятельности</t>
  </si>
  <si>
    <t xml:space="preserve"> Вещевое обеспечение</t>
  </si>
  <si>
    <t xml:space="preserve">   Пособия и компенсации военнослужащим,  приравненным к ним лицам, а также уволенным из их числа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</si>
  <si>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</si>
  <si>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068</t>
  </si>
  <si>
    <t xml:space="preserve"> Театры, цирки, концертные и другие организации исполнительских искусств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</si>
  <si>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</si>
  <si>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</si>
  <si>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</si>
  <si>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</si>
  <si>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</si>
  <si>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</si>
  <si>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</si>
  <si>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</si>
  <si>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</si>
  <si>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</si>
  <si>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</si>
  <si>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</si>
  <si>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 xml:space="preserve"> Межбюджетные трансферты</t>
  </si>
  <si>
    <t xml:space="preserve"> Детские дошкольные учреждения</t>
  </si>
  <si>
    <t>102 01 00</t>
  </si>
  <si>
    <t>917</t>
  </si>
  <si>
    <t>505 34 01</t>
  </si>
  <si>
    <t xml:space="preserve">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</si>
  <si>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Городские мероприятия в области социальной политики</t>
  </si>
  <si>
    <t>901</t>
  </si>
  <si>
    <t xml:space="preserve">   Жилой дом № 30 в 106 мкр (субсидии на капитальные вложения)</t>
  </si>
  <si>
    <t>902</t>
  </si>
  <si>
    <t xml:space="preserve">102 01 02 </t>
  </si>
  <si>
    <t>903</t>
  </si>
  <si>
    <t>904</t>
  </si>
  <si>
    <t>905</t>
  </si>
  <si>
    <t>906</t>
  </si>
  <si>
    <t>907</t>
  </si>
  <si>
    <t>911</t>
  </si>
  <si>
    <t>912</t>
  </si>
  <si>
    <t>913</t>
  </si>
  <si>
    <t>914</t>
  </si>
  <si>
    <t>915</t>
  </si>
  <si>
    <t>916</t>
  </si>
  <si>
    <t xml:space="preserve">   Субсидии на поддержку и развитие физической культуры и спорта</t>
  </si>
  <si>
    <t>520 21 00</t>
  </si>
  <si>
    <t>520 18 00</t>
  </si>
  <si>
    <t xml:space="preserve"> 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</si>
  <si>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522 18 00</t>
  </si>
  <si>
    <t>521 02 07</t>
  </si>
  <si>
    <t>Социальная помощь</t>
  </si>
  <si>
    <t>505 46 00</t>
  </si>
  <si>
    <t xml:space="preserve">  Возмещение затрат на обеспечение теплоснабжения объектов недвижимости, расположенных на территории города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</si>
  <si>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</si>
  <si>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</si>
  <si>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</si>
  <si>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</si>
  <si>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</si>
  <si>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</si>
  <si>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</si>
  <si>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</si>
  <si>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</si>
  <si>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</si>
  <si>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 xml:space="preserve"> 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</si>
  <si>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</si>
  <si>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 xml:space="preserve">  КАПИТАЛЬНЫЕ РЕМОНТЫ</t>
  </si>
  <si>
    <t xml:space="preserve">  КАПИТАЛЬНОЕ СТРОИТЕЛЬСТВО</t>
  </si>
  <si>
    <t>Реализация государственной политики в области приватизации и управления муниципальной собственностью</t>
  </si>
  <si>
    <t xml:space="preserve">  Реализация государственной политики в области приватизации и управления муниципальной собственностью</t>
  </si>
  <si>
    <t xml:space="preserve">  Строительство кладбища в д. Ивачево. 2 очередь</t>
  </si>
  <si>
    <t xml:space="preserve">Субвенции на передаваемые полномочия по предоставлению субсидий на оплату жилого помещения и коммунальных услуг </t>
  </si>
  <si>
    <t xml:space="preserve"> Воинские формирования </t>
  </si>
  <si>
    <t xml:space="preserve"> Иные безвозмездные и безвозвратные перечисления</t>
  </si>
  <si>
    <t>022</t>
  </si>
  <si>
    <t>Общее образование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</si>
  <si>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</si>
  <si>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</si>
  <si>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ВСЕГО</t>
  </si>
  <si>
    <t>разница</t>
  </si>
  <si>
    <t xml:space="preserve">  Субсидии на обеспечение мероприятий по капитальному ремонту многоквартирных домов,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</si>
  <si>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Капитальный ремонт муниципального жилищного фонда</t>
  </si>
  <si>
    <t xml:space="preserve"> Строительство объектов общегражданского назначения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</si>
  <si>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</si>
  <si>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</si>
  <si>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</si>
  <si>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</si>
  <si>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102 02 17</t>
  </si>
  <si>
    <t>ОБРАЗОВАНИЕ</t>
  </si>
  <si>
    <t>Реализация государственных функций в области социальной политики</t>
  </si>
  <si>
    <t>098 00 00</t>
  </si>
  <si>
    <t>098 01 01</t>
  </si>
  <si>
    <t>098 02 01</t>
  </si>
  <si>
    <t>470 00 00</t>
  </si>
  <si>
    <t>470 99 00</t>
  </si>
  <si>
    <t>476 00 00</t>
  </si>
  <si>
    <t>476 99 00</t>
  </si>
  <si>
    <t>471 00 00</t>
  </si>
  <si>
    <t>471 99 00</t>
  </si>
  <si>
    <t>477 00 00</t>
  </si>
  <si>
    <t>477 99 00</t>
  </si>
  <si>
    <t>474 00 00</t>
  </si>
  <si>
    <t>474 99 00</t>
  </si>
  <si>
    <t>469 00 00</t>
  </si>
  <si>
    <t>469 99 00</t>
  </si>
  <si>
    <t xml:space="preserve"> 09 </t>
  </si>
  <si>
    <t xml:space="preserve"> Выполнение функций государственными органами</t>
  </si>
  <si>
    <t xml:space="preserve"> Обслуживание государственного и муниципального долга</t>
  </si>
  <si>
    <t>065 00 00</t>
  </si>
  <si>
    <t>065 03 00</t>
  </si>
  <si>
    <t xml:space="preserve">  Процентные платежи по муниципальному долгу</t>
  </si>
  <si>
    <t xml:space="preserve">   Прочие расходы</t>
  </si>
  <si>
    <t xml:space="preserve">  Учреждения по внешкольной работе с детьми</t>
  </si>
  <si>
    <t xml:space="preserve">    Выполнение функций бюджетными учреждениями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</si>
  <si>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</si>
  <si>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</si>
  <si>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</si>
  <si>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</si>
  <si>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</si>
  <si>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</si>
  <si>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</si>
  <si>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</si>
  <si>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</si>
  <si>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Жилищное хозяйство</t>
  </si>
  <si>
    <t>521 01 18</t>
  </si>
  <si>
    <t xml:space="preserve"> Субсидии на обеспечение выплат стимулирующего характера работникам муниципальных учреждений здравоохранения</t>
  </si>
  <si>
    <t>524 14 00</t>
  </si>
  <si>
    <t>520 13 00</t>
  </si>
  <si>
    <t>524 00 00</t>
  </si>
  <si>
    <t xml:space="preserve"> Ведомственные целевые программы </t>
  </si>
  <si>
    <t xml:space="preserve"> Ведомственные целевые программы</t>
  </si>
  <si>
    <t>443 00 00</t>
  </si>
  <si>
    <t>443 99 00</t>
  </si>
  <si>
    <t>450 00 00</t>
  </si>
  <si>
    <t xml:space="preserve"> Государственная поддержка в сфере культуры, кинематографии, средств массовой информации</t>
  </si>
  <si>
    <t>450 85 00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</si>
  <si>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</si>
  <si>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512 00 00</t>
  </si>
  <si>
    <t>512 97 00</t>
  </si>
  <si>
    <t xml:space="preserve"> Социальное обслуживание населения</t>
  </si>
  <si>
    <t>507 00 00</t>
  </si>
  <si>
    <t xml:space="preserve">  Строительство мостового перехода через р. Шексну в створе ул. Архангельской</t>
  </si>
  <si>
    <t>525 03 00</t>
  </si>
  <si>
    <t>525 07 00</t>
  </si>
  <si>
    <t>Охрана объектов растительного и животного мира и среды их обитания</t>
  </si>
  <si>
    <t xml:space="preserve">  Учреждения социального обслуживание населения</t>
  </si>
  <si>
    <t>507 99 00</t>
  </si>
  <si>
    <t xml:space="preserve">  Мероприятия в области социальной политики  </t>
  </si>
  <si>
    <t>002 29 00</t>
  </si>
  <si>
    <t xml:space="preserve">  Обеспечение приватизации и проведение предпродажной подготовки объектов приватизации</t>
  </si>
  <si>
    <t>090 00 00</t>
  </si>
  <si>
    <t xml:space="preserve"> Оценка недвижимости, признание прав и регулирование отношений по государственной  и муниципальной собственности</t>
  </si>
  <si>
    <t>090 02 00</t>
  </si>
  <si>
    <t>330 00 00</t>
  </si>
  <si>
    <t>330 99 00</t>
  </si>
  <si>
    <t>Охрана окружающей среды</t>
  </si>
  <si>
    <t xml:space="preserve"> Бюджетные инвестиции в объекты капитального строительства, не включенные в целевые программы</t>
  </si>
  <si>
    <t xml:space="preserve"> Реконструкция мостового перехода через реку Ягорбу по пр.Победы </t>
  </si>
  <si>
    <t xml:space="preserve">   Реконструкция мостового перехода через реку Ягорбу по пр.Победы (субсидии на капитальные вложения)</t>
  </si>
  <si>
    <t xml:space="preserve">  Бюджетные инвестиции в объекты капитального строительства собственности муниципальных образований </t>
  </si>
  <si>
    <t xml:space="preserve">    Бюджетные инвестиции </t>
  </si>
  <si>
    <t>202 00 00</t>
  </si>
  <si>
    <t>202 01 00</t>
  </si>
  <si>
    <t>Резервные фонды</t>
  </si>
  <si>
    <t>НАЦИОНАЛЬНАЯ БЕЗОПАСНОСТЬ И ПРАВООХРАНИТЕЛЬНАЯ  ДЕЯТЕЛЬНОСТЬ</t>
  </si>
  <si>
    <t>Органы внутренних дел</t>
  </si>
  <si>
    <t>012</t>
  </si>
  <si>
    <t xml:space="preserve">  Выполнение функций государственными органами</t>
  </si>
  <si>
    <t>500</t>
  </si>
  <si>
    <t>"Здоровый город" на 2009-2015 годы</t>
  </si>
  <si>
    <t xml:space="preserve">  "Здоровый город" на 2009-2015 годы</t>
  </si>
  <si>
    <t xml:space="preserve">   "Здоровый город" на 2009-2015 годы</t>
  </si>
  <si>
    <t>360 00 00</t>
  </si>
  <si>
    <t>360 01 00</t>
  </si>
  <si>
    <t>область</t>
  </si>
  <si>
    <t>001 43 00</t>
  </si>
  <si>
    <t xml:space="preserve">507 99 00 </t>
  </si>
  <si>
    <t xml:space="preserve"> 505 46 00 </t>
  </si>
  <si>
    <t xml:space="preserve">  Мероприятия в области социальной политики</t>
  </si>
  <si>
    <t>521 01 01</t>
  </si>
  <si>
    <t xml:space="preserve"> Мероприятия по проведению оздоровительной кампании детей</t>
  </si>
  <si>
    <t xml:space="preserve"> Поддержка жилищного хозяйства</t>
  </si>
  <si>
    <t xml:space="preserve">  Субвенции на оплату жилищно-коммунальных услуг отдельным категориям граждан</t>
  </si>
  <si>
    <t>522 40 00</t>
  </si>
  <si>
    <t xml:space="preserve"> Прочие мероприятия по благоустройству</t>
  </si>
  <si>
    <t>Культура и кинематография</t>
  </si>
  <si>
    <t xml:space="preserve">Здравоохранение </t>
  </si>
  <si>
    <t xml:space="preserve">  Мероприятия в области здравоохранения</t>
  </si>
  <si>
    <t xml:space="preserve">Обслуживание внутреннего государственного и муниципального долга 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</si>
  <si>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</si>
  <si>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</si>
  <si>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</si>
  <si>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</si>
  <si>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</si>
  <si>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 xml:space="preserve">  Мероприятия в области спорта и физической культуры, туризма</t>
  </si>
  <si>
    <t xml:space="preserve"> 102 01 02 </t>
  </si>
  <si>
    <t xml:space="preserve">   Набережная от Октябрьского моста до мостового перехода через р. Ягорба (субсидии на капитальные вложения)</t>
  </si>
  <si>
    <t xml:space="preserve">  Субсидии на капитальные вложения в рамках реализации долгосрочной целевой программы "Инвестиции в объекты капитального строительства на 2010-2012 гг."</t>
  </si>
  <si>
    <t>Управление внутренних дел по городу Череповцу</t>
  </si>
  <si>
    <t xml:space="preserve">  Обеспечение мероприятий по капитальному ремонту многоквартирных домов за счет средств городского бюджета</t>
  </si>
  <si>
    <t xml:space="preserve"> 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 (ведомственная целевая программа "Пожарная безопасность учреждений социального обслуживания населения на 2009-2011 годы")</t>
  </si>
  <si>
    <t xml:space="preserve">  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 (ведомственная целевая программа "Пожарная безопасность учреждений социального обслуживания населения на 2009-2011 годы")</t>
  </si>
  <si>
    <t>Другие вопросы в области национальной безопасности и правоохранительной деятельности</t>
  </si>
  <si>
    <t xml:space="preserve"> Реализация государственных функций в области  национальной экономики</t>
  </si>
  <si>
    <t xml:space="preserve"> Молодежная политика и оздоровление детей</t>
  </si>
  <si>
    <t>Культура</t>
  </si>
  <si>
    <t xml:space="preserve"> Музеи и постоянные выставки</t>
  </si>
  <si>
    <t xml:space="preserve"> Библиотеки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</si>
  <si>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</si>
  <si>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 (умерших) инвалидов войны - участников Великой Отечественной войны, инвалидов и семей, имеющих     детей-инвалидов</t>
  </si>
  <si>
    <t xml:space="preserve">     Субсидии некоммерческим организациям
</t>
  </si>
  <si>
    <t>019</t>
  </si>
  <si>
    <t xml:space="preserve">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а также предусмотренных частями                  5-7 статьи 2 закона области от 17 декабря 2007 года № 1718-ОЗ "О наделении органов местного самоуправления отдельными государственным полномочиями в сфере труда и социальной защиты населения области"</t>
  </si>
  <si>
    <t>2011 год</t>
  </si>
  <si>
    <t>2012 год</t>
  </si>
  <si>
    <t>2013 год</t>
  </si>
  <si>
    <t xml:space="preserve">   Строительство жилого дома № 25 в 115 мкр.(субсидии на капитальные вложения)</t>
  </si>
  <si>
    <t xml:space="preserve">    Строительство жилого дома № 25 в 115 мкр.</t>
  </si>
  <si>
    <t>102 02 11</t>
  </si>
  <si>
    <t>102 02 12</t>
  </si>
  <si>
    <t xml:space="preserve"> 10 </t>
  </si>
  <si>
    <t xml:space="preserve">   Строительство детского сада на 330 мест в 105 мкр (субсидии на капитальные вложения)</t>
  </si>
  <si>
    <t xml:space="preserve">   Строительство детского сада на 330 мест в 115 мкр (субсидии на капитальные вложения)</t>
  </si>
  <si>
    <t xml:space="preserve">   Медицинский комплекс амбулаторного обслуживания населения в 8 мкр.</t>
  </si>
  <si>
    <t xml:space="preserve">    Историко-этнографический музей "Усадьба Гальских" (субсидии на капитальные вложения)</t>
  </si>
  <si>
    <t>006</t>
  </si>
  <si>
    <t>Амбулаторная помощь</t>
  </si>
  <si>
    <t xml:space="preserve">Скорая медицинская помощь </t>
  </si>
  <si>
    <t>Санаторно-оздоровительная помощь</t>
  </si>
  <si>
    <t>РАСХОДЫ</t>
  </si>
  <si>
    <t>Физическая культура и спорт</t>
  </si>
  <si>
    <t>079</t>
  </si>
  <si>
    <t>805,808,809</t>
  </si>
  <si>
    <t>,808,809</t>
  </si>
  <si>
    <t>340 83 00</t>
  </si>
  <si>
    <t>098 02 00</t>
  </si>
  <si>
    <t>522 14 00</t>
  </si>
  <si>
    <t xml:space="preserve">   Строительство объектов сметной стоимостью до 100 млн. рублей</t>
  </si>
  <si>
    <t xml:space="preserve"> Субсидии на реализацию долгосрочной целевой программы "Демографическое развитие Вологодской области" на 2009, 2010 годы
                                   </t>
  </si>
  <si>
    <t xml:space="preserve"> Субсидии на питание школьников в рамках реализации  долгосрочной целевой программы "Демографическое развитие Вологодской области" на 2009, 2010 годы
                                   </t>
  </si>
  <si>
    <t xml:space="preserve">  Строительство кладбища в районе д. Ивачево. 2 очередь</t>
  </si>
  <si>
    <t xml:space="preserve"> Строительство улицы Раахе (от Октябрьского пр. до ул.Рыбинской) на участке от Октябрьского пр. до ул. Годовикова</t>
  </si>
  <si>
    <t xml:space="preserve"> Детский сад в 115 мкр.</t>
  </si>
  <si>
    <t>102 02 19</t>
  </si>
  <si>
    <t>102 02 20</t>
  </si>
  <si>
    <t xml:space="preserve"> Другие вопросы в области охраны окружающей среды </t>
  </si>
  <si>
    <t xml:space="preserve">  Строительство детского сада в 115 мкр.</t>
  </si>
  <si>
    <t xml:space="preserve">  Предоставление гражданам субсидий на оплату жилого помещения и коммунальных услуг </t>
  </si>
  <si>
    <t>505 48 00</t>
  </si>
  <si>
    <t xml:space="preserve"> Государственная поддержка отдельных отраслей промышленности и топливно-энергетического комплекса</t>
  </si>
  <si>
    <t>521 01 00</t>
  </si>
  <si>
    <t>Долгосрочные целевые программы</t>
  </si>
  <si>
    <t>522 14 01</t>
  </si>
  <si>
    <t>522 14 02</t>
  </si>
  <si>
    <t>522 30 00</t>
  </si>
  <si>
    <t>522 20 00</t>
  </si>
  <si>
    <t>Охрана  семьи и детства</t>
  </si>
  <si>
    <t>520 10 00</t>
  </si>
  <si>
    <t xml:space="preserve"> Школы-детские сады, школы начальные, неполные средние и средние</t>
  </si>
  <si>
    <t>024</t>
  </si>
  <si>
    <t>023</t>
  </si>
  <si>
    <t xml:space="preserve">  Реконструкция Северного шоссе</t>
  </si>
  <si>
    <t xml:space="preserve">    Реконструкция путепровода через пр. Победы в районе ул. Судостроительной (с расширением улично-дорожной сети) (проектно-сметная документация) (субсидии на капитальные вложения)</t>
  </si>
  <si>
    <t>город</t>
  </si>
  <si>
    <t xml:space="preserve">  Строительство магистральных сетей для застройки Зашекснинского района (112 микрорайон) (2 этап)</t>
  </si>
  <si>
    <t xml:space="preserve">  Строительство магистральных сетей для застройки восточной части Зашекснинского района</t>
  </si>
  <si>
    <t>102 02 15</t>
  </si>
  <si>
    <t>102 02 16</t>
  </si>
  <si>
    <t xml:space="preserve"> Больницы, клиники, госпитали, медико-санитарные части</t>
  </si>
  <si>
    <t xml:space="preserve">  Председатель представительного органа муниципального образования</t>
  </si>
  <si>
    <t xml:space="preserve">  Депутаты представительного органа муниципального образования</t>
  </si>
  <si>
    <t xml:space="preserve"> Дворцы и дома культуры, другие учреждения культуры и средства массовой информации</t>
  </si>
  <si>
    <t xml:space="preserve">               к решению Череповецкой</t>
  </si>
  <si>
    <t xml:space="preserve">               городской Думы</t>
  </si>
  <si>
    <t>Итого расходов</t>
  </si>
  <si>
    <t>522 05 00</t>
  </si>
  <si>
    <t xml:space="preserve">  Субсидии юридическим лицам</t>
  </si>
  <si>
    <t xml:space="preserve"> Оздоровление детей</t>
  </si>
  <si>
    <t>070 00 00</t>
  </si>
  <si>
    <t xml:space="preserve"> Резервные фонды</t>
  </si>
  <si>
    <t>001 40 00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</si>
  <si>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</si>
  <si>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</si>
  <si>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 Другие вопросы в области национальной безопасности и правоохранительной деятельности</t>
  </si>
  <si>
    <t xml:space="preserve">  Муниципальная программа развития субъектов  малого и среднего предпринимательства в городе Череповце на 2009-2012 годы</t>
  </si>
  <si>
    <t xml:space="preserve">  Иные субсидии местным бюджетам для софинансирования расходных обязательств по исполнению полномочий органов  местного самоуправления по вопросам местного значения </t>
  </si>
  <si>
    <t xml:space="preserve">  Специальные (коррекционные) учреждения</t>
  </si>
  <si>
    <t>Шекснинский проспект на участке от Октябрьского пр. до ул. Рыбинской</t>
  </si>
  <si>
    <t xml:space="preserve">  Субсидии  на реализацию  долгосрочной целевой программы "Здоровое школьное питание на 2009-2015 годы"</t>
  </si>
  <si>
    <t xml:space="preserve">  Субвенции на осуществление отдельных государственных полномочий в сфере регулирования цен и тарифов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</si>
  <si>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</si>
  <si>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</si>
  <si>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 xml:space="preserve">  Предоставление субсидий на оплату жилого помещения и коммунальных услуг (за счет субвенций) </t>
  </si>
  <si>
    <t xml:space="preserve">   Строительство жилого дома № 30 в 106 мкр. (субсидии на капитальные вложения)</t>
  </si>
  <si>
    <t>485 00 00</t>
  </si>
  <si>
    <t>Реализация государственных функций в области здравоохранения</t>
  </si>
  <si>
    <t>Прочие мероприятия в области здравоохранения</t>
  </si>
  <si>
    <t>487 00 00</t>
  </si>
  <si>
    <t>Реализация государственных функций в области физической культуры и спорта</t>
  </si>
  <si>
    <t>Мероприятия в области спорта и физической культуры</t>
  </si>
  <si>
    <t xml:space="preserve">  Субсидии некоммерческим организациям
</t>
  </si>
  <si>
    <t>525 06 00</t>
  </si>
  <si>
    <t>525 08 00</t>
  </si>
  <si>
    <t>525 05 00</t>
  </si>
  <si>
    <t>525 11 00</t>
  </si>
  <si>
    <t>525 13 00</t>
  </si>
  <si>
    <t>525 12 00</t>
  </si>
  <si>
    <t xml:space="preserve">  Строительство кладбища в районе д. Ивачево 2 очередь</t>
  </si>
  <si>
    <t xml:space="preserve">   Реконструкция здания  по улице Гоголя д.14 под детский сад (субсидии на капитальные вложения)</t>
  </si>
  <si>
    <t xml:space="preserve">   Реализация других функций, связанных с обеспечением национальной безопасности и правоохранительной деятельности</t>
  </si>
  <si>
    <t>247 00 00</t>
  </si>
  <si>
    <t>092 00 00</t>
  </si>
  <si>
    <t>795 00 00</t>
  </si>
  <si>
    <t>795 01 00</t>
  </si>
  <si>
    <t xml:space="preserve">  Другие вопросы в области национальной экономики</t>
  </si>
  <si>
    <t xml:space="preserve">   Выполнение функций органами местного самоуправления </t>
  </si>
  <si>
    <t xml:space="preserve"> Долгосрочные целевые программы</t>
  </si>
  <si>
    <t>795 01 03</t>
  </si>
  <si>
    <t xml:space="preserve">  Городские целевые программы</t>
  </si>
  <si>
    <t>795 01 02</t>
  </si>
  <si>
    <t xml:space="preserve"> Городские целевые программы</t>
  </si>
  <si>
    <t>"Безбарьерная среда" на 2011-2013 годы</t>
  </si>
  <si>
    <t>795 01 07</t>
  </si>
  <si>
    <t>795 01 01</t>
  </si>
  <si>
    <t>"Одаренные дети" на 2011-2013 годы</t>
  </si>
  <si>
    <t>795 02 01</t>
  </si>
  <si>
    <t xml:space="preserve">  "Развитие инвестиционного потенциала города Череповца" на 2010-2015 годы</t>
  </si>
  <si>
    <t>795 01 06</t>
  </si>
  <si>
    <t>795 01 04</t>
  </si>
  <si>
    <t xml:space="preserve">  Долгосрочная целевая программа противодействия коррупции в городе Череповце на 2011-2012 годы</t>
  </si>
  <si>
    <t>795 01 05</t>
  </si>
  <si>
    <t xml:space="preserve">   Выполнение функций государственными органами </t>
  </si>
  <si>
    <t xml:space="preserve"> Образование</t>
  </si>
  <si>
    <t>431 01 00</t>
  </si>
  <si>
    <t>431 00 00</t>
  </si>
  <si>
    <t>457 00 00</t>
  </si>
  <si>
    <t>457 99 00</t>
  </si>
  <si>
    <t>491 00 00</t>
  </si>
  <si>
    <t xml:space="preserve">   Доплаты к пенсиям государственных служащих субъектов Российской Федерации и муниципальных служащих</t>
  </si>
  <si>
    <t xml:space="preserve">   Доплаты к пенсиям, дополнительное пенсионное обеспечение</t>
  </si>
  <si>
    <t>491 01 00</t>
  </si>
  <si>
    <t xml:space="preserve"> Социальное обеспечение населения</t>
  </si>
  <si>
    <t>104 00 00</t>
  </si>
  <si>
    <t xml:space="preserve">   Подпрограмма "Обеспечение жильем молодых семей"</t>
  </si>
  <si>
    <t>104 02 00</t>
  </si>
  <si>
    <t xml:space="preserve">   Субсидии на обеспечение жильем </t>
  </si>
  <si>
    <t>505 00 00</t>
  </si>
  <si>
    <t>505 34 00</t>
  </si>
  <si>
    <t xml:space="preserve">  Долгосрочные целевые программы</t>
  </si>
  <si>
    <t>522 00 00</t>
  </si>
  <si>
    <t>522 23 00</t>
  </si>
  <si>
    <t xml:space="preserve">  Долгосрочные городские целевые программы</t>
  </si>
  <si>
    <t>002 11 00</t>
  </si>
  <si>
    <t>002 12 00</t>
  </si>
  <si>
    <t xml:space="preserve">   Поисковые и аварийно-спасательные учреждения</t>
  </si>
  <si>
    <t>302 99 00</t>
  </si>
  <si>
    <t>302 00 00</t>
  </si>
  <si>
    <t xml:space="preserve">   Обеспечение деятельности подведомственных учреждений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</si>
  <si>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</si>
  <si>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</si>
  <si>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</si>
  <si>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</si>
  <si>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</si>
  <si>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350 02 00</t>
  </si>
  <si>
    <t>350 00 00</t>
  </si>
  <si>
    <t>350 03 00</t>
  </si>
  <si>
    <t>350 04 00</t>
  </si>
  <si>
    <t>092 03 00</t>
  </si>
  <si>
    <t xml:space="preserve">05 </t>
  </si>
  <si>
    <t xml:space="preserve">  Бюджетные инвестиции </t>
  </si>
  <si>
    <t xml:space="preserve">  Благоустройство </t>
  </si>
  <si>
    <t>600 00 00</t>
  </si>
  <si>
    <t>600 01 00</t>
  </si>
  <si>
    <t xml:space="preserve"> 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</si>
  <si>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</si>
  <si>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  Озеленение</t>
  </si>
  <si>
    <t>600 03 00</t>
  </si>
  <si>
    <t>600 04 00</t>
  </si>
  <si>
    <t>600 05 00</t>
  </si>
  <si>
    <t xml:space="preserve"> Другие вопросы в области жилищно-коммунального хозяйства</t>
  </si>
  <si>
    <t>Образование</t>
  </si>
  <si>
    <t>Социальная политика</t>
  </si>
  <si>
    <t xml:space="preserve">  Реализация государственных функций в области социальной политики</t>
  </si>
  <si>
    <t xml:space="preserve">   Мероприятия в области социальной политики</t>
  </si>
  <si>
    <t>514 00 00</t>
  </si>
  <si>
    <t>514 01 00</t>
  </si>
  <si>
    <t>Национальная экономика</t>
  </si>
  <si>
    <t xml:space="preserve"> Другие вопросы в области национальной экономики</t>
  </si>
  <si>
    <t>340 00 00</t>
  </si>
  <si>
    <t xml:space="preserve"> Реализация государственных функций в области национальной экономики</t>
  </si>
  <si>
    <t xml:space="preserve">  Капитальный ремонт многоквартирных домов, включенных в муниципальную программу "Энергосбережение и повышение энергетической эффективности на территории муниципального образования город Череповец на 2010-2014 годы" </t>
  </si>
  <si>
    <t>350 05 00</t>
  </si>
  <si>
    <t>Субсидии на обеспечениие мероприятий по восстановительному лечению работающих граждан после оказания им стационарной помощи</t>
  </si>
  <si>
    <t>485 97 01</t>
  </si>
  <si>
    <t>485 97 00</t>
  </si>
  <si>
    <t xml:space="preserve">Субсидии на реализацию долгосрочной целевой программы "Эффективная и безопасная лучевая диагностика" на 2010-2012 годы </t>
  </si>
  <si>
    <t>522 06 00</t>
  </si>
  <si>
    <t>522 62 00</t>
  </si>
  <si>
    <t>Субсидии на реализацию долгосрочной целевой программы "Развитие образования в сфере культуры и искусства в Вологодской области на 2010-2013 годы"</t>
  </si>
  <si>
    <t>Субсидии на реализацию долгосрочной целевой программы "Традиционная народная культура как основа сохранения культурной самобытности Вологодской области на 2011-2014 годы"</t>
  </si>
  <si>
    <t>522 21 00</t>
  </si>
  <si>
    <t>487 97 00</t>
  </si>
  <si>
    <t>487 97 01</t>
  </si>
  <si>
    <t>Спорт высших достижений</t>
  </si>
  <si>
    <t>522 55 00</t>
  </si>
  <si>
    <t>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</si>
  <si>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>522 57 00</t>
  </si>
  <si>
    <t>Субсидии на реализацию долгосрочной целевой программы "Безбарьерная среда" на 2010-2014 годы</t>
  </si>
  <si>
    <t xml:space="preserve">  Мероприятия по землеустройству и землепользованию </t>
  </si>
  <si>
    <t>340 03 00</t>
  </si>
  <si>
    <t xml:space="preserve"> Дошкольное образование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</si>
  <si>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</si>
  <si>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</si>
  <si>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</si>
  <si>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</si>
  <si>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</si>
  <si>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</si>
  <si>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</si>
  <si>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424 00 00</t>
  </si>
  <si>
    <t>424 99 00</t>
  </si>
  <si>
    <t>433 00 00</t>
  </si>
  <si>
    <t>433 99 00</t>
  </si>
  <si>
    <t>443</t>
  </si>
  <si>
    <t xml:space="preserve">  Возмещение  затрат на содержание незаселенных жилых помещений муниципального жилищного фонда и коммунальные услуги </t>
  </si>
  <si>
    <t>009</t>
  </si>
  <si>
    <t>525 01 07</t>
  </si>
  <si>
    <t>Субвенции на организацию и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</si>
  <si>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436 12 02</t>
  </si>
  <si>
    <t>436 12 00</t>
  </si>
  <si>
    <t>436 00 00</t>
  </si>
  <si>
    <t>Мероприятия в области образования</t>
  </si>
  <si>
    <t>Совершенствование организации питания учащихся в общеобразовательных учреждениях</t>
  </si>
  <si>
    <t>436 12 01</t>
  </si>
  <si>
    <t>522 34 00</t>
  </si>
  <si>
    <t>525 01 04</t>
  </si>
  <si>
    <t>525 01 05</t>
  </si>
  <si>
    <t>525 01 02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</si>
  <si>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</si>
  <si>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Учреждения по внешкольной работе с детьми</t>
  </si>
  <si>
    <t xml:space="preserve"> Детские дома</t>
  </si>
  <si>
    <t xml:space="preserve"> Учреждения, обеспечивающие предоставление услуг в сфере здравоохранения</t>
  </si>
  <si>
    <t xml:space="preserve">  Мероприятия в области здравоохранения, спорта и физической культуры, туризма</t>
  </si>
  <si>
    <t xml:space="preserve"> Физкультурно-оздоровительная работа и спортивные мероприятия</t>
  </si>
  <si>
    <t xml:space="preserve">  Прочие мероприятия по благоустройству городских округов и поселений</t>
  </si>
  <si>
    <t xml:space="preserve">  Уличное освещение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</si>
  <si>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</si>
  <si>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</si>
  <si>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</si>
  <si>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</si>
  <si>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</si>
  <si>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 xml:space="preserve">   Уплата налога на имущество организаций и земельного налога</t>
  </si>
  <si>
    <t>420 95 00</t>
  </si>
  <si>
    <t>421 95 00</t>
  </si>
  <si>
    <t>423 95 00</t>
  </si>
  <si>
    <t>452 95 00</t>
  </si>
  <si>
    <t>470 95 00</t>
  </si>
  <si>
    <t>471 95 00</t>
  </si>
  <si>
    <t>474 95 00</t>
  </si>
  <si>
    <t>469 95 00</t>
  </si>
  <si>
    <t>440 95 00</t>
  </si>
  <si>
    <t>441 95 00</t>
  </si>
  <si>
    <t>тыс.рублей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</si>
  <si>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</si>
  <si>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</si>
  <si>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</si>
  <si>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</si>
  <si>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</si>
  <si>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</si>
  <si>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</si>
  <si>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</si>
  <si>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</si>
  <si>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КУЛЬТУРА И КИНЕМАТОГРАФИЯ</t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</si>
  <si>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(обуч</t>
    </r>
    <r>
      <rPr>
        <sz val="13"/>
        <rFont val="Times New Roman"/>
        <family val="1"/>
      </rPr>
      <t xml:space="preserve">ающихся) 1-4 классов в рамках реализации долгосрочной целевой программы "Демографическое развитие Вологодской области" на 2009, 2010 годы
</t>
    </r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</si>
  <si>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</t>
    </r>
    <r>
      <rPr>
        <sz val="13"/>
        <rFont val="Times New Roman"/>
        <family val="1"/>
      </rPr>
      <t xml:space="preserve">(обучающихся) 1-4 классов в рамках реализации долгосрочной целевой программы "Демографическое развитие Вологодской области" на 2009, 2010 годы
</t>
    </r>
  </si>
  <si>
    <t>442 95 00</t>
  </si>
  <si>
    <t>443 95 00</t>
  </si>
  <si>
    <t xml:space="preserve">    Мероприятия в сфере образования</t>
  </si>
  <si>
    <t xml:space="preserve">   Мероприятия в сфере образования</t>
  </si>
  <si>
    <t xml:space="preserve">    Мероприятия в области социальной политики</t>
  </si>
  <si>
    <t xml:space="preserve">    Природоохранные мероприятия</t>
  </si>
  <si>
    <t>457 95 00</t>
  </si>
  <si>
    <t>014</t>
  </si>
  <si>
    <t xml:space="preserve">  Организация и содержание мест захоронения</t>
  </si>
  <si>
    <t>07</t>
  </si>
  <si>
    <t>12</t>
  </si>
  <si>
    <t>202 58 00</t>
  </si>
  <si>
    <t>202 67 00</t>
  </si>
  <si>
    <t>202 72 00</t>
  </si>
  <si>
    <t>202 76 00</t>
  </si>
  <si>
    <t xml:space="preserve">  Резервные фонды мэрии города</t>
  </si>
  <si>
    <t>070 05 00</t>
  </si>
  <si>
    <t>432 02 00</t>
  </si>
  <si>
    <t xml:space="preserve"> Обеспечение проведения выборов и референдумов</t>
  </si>
  <si>
    <t xml:space="preserve">  Социальные выплаты</t>
  </si>
  <si>
    <t xml:space="preserve">  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 (умерших) инвалидов войны - участников Великой Отечественной войны, инвалидов и семей, имеющих детей-инвалидов</t>
  </si>
  <si>
    <t>505 34 02</t>
  </si>
  <si>
    <t xml:space="preserve"> Субсидии на реализацию долгосрочной целевой программы "Пожарная безопасность учреждений здравоохранения" на 2009-2012 годы</t>
  </si>
  <si>
    <t>102 02 22</t>
  </si>
  <si>
    <t xml:space="preserve">  Строительство детского сада  № 35 в 105 мкр.</t>
  </si>
  <si>
    <t xml:space="preserve">   Субвенции из фонда компенсаций</t>
  </si>
  <si>
    <t xml:space="preserve"> 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</si>
  <si>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Субсидии на реализацию долгосрочной целевой программы "Пожарная безопасность учреждений культуры" на 2009-2011 годы</t>
  </si>
  <si>
    <t>ППП</t>
  </si>
  <si>
    <t>Управление по делам культуры мэрии города</t>
  </si>
  <si>
    <t>429 00 00</t>
  </si>
  <si>
    <t xml:space="preserve">  Учебные заведения и курсы по переподготовке кадров</t>
  </si>
  <si>
    <t>429 99 00</t>
  </si>
  <si>
    <t>429 95 00</t>
  </si>
  <si>
    <t xml:space="preserve">07 </t>
  </si>
  <si>
    <t>452 00 00</t>
  </si>
  <si>
    <t>452 99 00</t>
  </si>
  <si>
    <t>795 02 00</t>
  </si>
  <si>
    <t xml:space="preserve"> Мероприятия в сфере культуры</t>
  </si>
  <si>
    <t>013</t>
  </si>
  <si>
    <t xml:space="preserve">  Прочие расходы</t>
  </si>
  <si>
    <t xml:space="preserve"> Санатории для детей и подростков</t>
  </si>
  <si>
    <t xml:space="preserve"> Родильные дома</t>
  </si>
  <si>
    <t xml:space="preserve"> Станции скорой и неотложной  помощи</t>
  </si>
  <si>
    <t xml:space="preserve"> Процентные платежи по долговым обязательствам</t>
  </si>
  <si>
    <t>0980101</t>
  </si>
  <si>
    <t xml:space="preserve">  Обеспечение деятельности подведомственных учреждений</t>
  </si>
  <si>
    <t xml:space="preserve">   Социальные выплаты </t>
  </si>
  <si>
    <t xml:space="preserve"> Поликлиники, амбулатории, диагностические центры</t>
  </si>
  <si>
    <t xml:space="preserve">  Субсидии  юридическим лицам </t>
  </si>
  <si>
    <t xml:space="preserve"> Стационарная медицинская помощь</t>
  </si>
  <si>
    <t>14</t>
  </si>
  <si>
    <t>001</t>
  </si>
  <si>
    <t>Профессиональная подготовка, переподготовка и повышение квалификации</t>
  </si>
  <si>
    <t>092 99 00</t>
  </si>
  <si>
    <t>00</t>
  </si>
  <si>
    <t xml:space="preserve">от                №  </t>
  </si>
  <si>
    <t xml:space="preserve">от                 № </t>
  </si>
  <si>
    <t xml:space="preserve">  Субсидии на обеспечение мероприятий по капитальному ремонту многоквартирных домов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</si>
  <si>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Федеральная целевая программа «Жилище» на 2002-2010 годы (второй этап)</t>
  </si>
  <si>
    <t>621</t>
  </si>
  <si>
    <t xml:space="preserve">   Субсидии автономным учреждениям на возмещение нормативных затрат, связанных с оказанием ими государственных (муниципальных) услуг (выполнением работ)</t>
  </si>
  <si>
    <t xml:space="preserve">    МОУДОД ДЮСШ "Центр боевых искусств"</t>
  </si>
  <si>
    <t>МУК "Городское объединение парков"</t>
  </si>
  <si>
    <t xml:space="preserve">   МОУ "Общеобразовательный лицей  "АМТЭК"</t>
  </si>
  <si>
    <t xml:space="preserve">  МСВОУ "Центр образования"</t>
  </si>
  <si>
    <t xml:space="preserve">  МУК "Камерный театр</t>
  </si>
  <si>
    <t xml:space="preserve">   Субсидии автономным учреждениям на иные цели</t>
  </si>
  <si>
    <t>622</t>
  </si>
  <si>
    <t xml:space="preserve">  Центральный аппарат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</si>
  <si>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</si>
  <si>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 Жилой дом № 25 в 115 мкр.(субсидии на капитальные вложения)</t>
  </si>
  <si>
    <t xml:space="preserve">   Набережная от Октябрьского моста до мостового перехода через реку Ягорба (субсидии на капитальные вложения)</t>
  </si>
  <si>
    <t xml:space="preserve">  Уплата налога на имущество организаций и земельного налога</t>
  </si>
  <si>
    <t xml:space="preserve">  Проведение мероприятий для детей и молодежи</t>
  </si>
  <si>
    <t xml:space="preserve">  "Здоровый город" на 2009-2012 годы</t>
  </si>
  <si>
    <t>510 03 00</t>
  </si>
  <si>
    <t xml:space="preserve">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</si>
  <si>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</si>
  <si>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>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</si>
  <si>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</si>
  <si>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>522 31 00</t>
  </si>
  <si>
    <t xml:space="preserve"> 07 </t>
  </si>
  <si>
    <t xml:space="preserve">   Закольцовка системы газоснабжения Зашекснинского района (субсидии на капитальные вложения)</t>
  </si>
  <si>
    <t xml:space="preserve">  Субвенции на осуществление отдельных государственных полномочий в сфере архивного дела  </t>
  </si>
  <si>
    <t>Субвенции на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</t>
  </si>
  <si>
    <t xml:space="preserve">  Субсидии на питание школьников</t>
  </si>
  <si>
    <t xml:space="preserve">  Субсидии на обеспечение молоком школьников (обучающихся) 1-4 классов</t>
  </si>
  <si>
    <t xml:space="preserve">  Субвенции на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</si>
  <si>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  Субвенции на 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</t>
  </si>
  <si>
    <t xml:space="preserve">  Субвенции на организацию и осуществление деятельности по опеке и попечительству в отношении несовершеннолетних</t>
  </si>
  <si>
    <t xml:space="preserve">  Субсидии на реализацию долгосрочной целевой программы "Комплексная безопасность образовательного учреждения на 2011-2015 годы"</t>
  </si>
  <si>
    <t xml:space="preserve">  Субвенции на 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линий, и приобретение комплекта детской одежды для посещения школьных занятий, спортивной формы для занятий физической культурой</t>
  </si>
  <si>
    <t xml:space="preserve"> Субсидии на реализацию долгосрочной целевой программы "Организация отдыха детей, их оздоровления и занятости в Вологодской области на 2009-2014 годы"</t>
  </si>
  <si>
    <t xml:space="preserve"> Субвенции на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</si>
  <si>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 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</t>
  </si>
  <si>
    <t xml:space="preserve">  Субвенции на осуществление отдельных государственных полномочий в сфере предоставления мер социальной поддержки при проезде на транспорте на территории Вологодской области в соответствии с законом области "О мерах социальной поддержки отдельных категорий граждан при проезде на транспорте на территории Вологодской области"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</t>
  </si>
  <si>
    <t xml:space="preserve">Субвенции на осуществление отдельных государственных полномочий в сфере охраны окружающей среды </t>
  </si>
  <si>
    <t xml:space="preserve">  Субвенции на организацию и осуществление деятельности по опеке и попечительству в отношении совершеннолетних граждан, нуждающихся в опеке или попечительстве</t>
  </si>
  <si>
    <t xml:space="preserve">  Субвенции на осуществление полномочий по подготовке проведения статистических переписей</t>
  </si>
  <si>
    <t xml:space="preserve">  Субсидии на капитальные вложения в рамках реализации долгосрочной целевой программы "Инвестиции в объекты капитального строительства на 2010-2013 годы и на перспективу до 2020 года"</t>
  </si>
  <si>
    <t xml:space="preserve">   Мероприятия в области здравоохранения, спорта и физической культуры, туризма</t>
  </si>
  <si>
    <t xml:space="preserve"> Мероприятия в области здравоохранения, спорта и физической культуры, туризма </t>
  </si>
  <si>
    <t xml:space="preserve">  Глава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</si>
  <si>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</si>
  <si>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</si>
  <si>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 Судебная система</t>
  </si>
  <si>
    <t>Сумма (тыс.рублей)</t>
  </si>
  <si>
    <t xml:space="preserve">                                от                           № </t>
  </si>
  <si>
    <t xml:space="preserve">городского бюджета по разделам, подразделам функциональной классификации </t>
  </si>
  <si>
    <t xml:space="preserve">  </t>
  </si>
  <si>
    <t xml:space="preserve">                РАСХОДЫ                                                                                                                                                    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</si>
  <si>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</si>
  <si>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 xml:space="preserve">               Приложение 12</t>
  </si>
  <si>
    <t>Приложение 14</t>
  </si>
  <si>
    <t xml:space="preserve">РАСХОДЫ </t>
  </si>
  <si>
    <t>на плановый период 2012 и 2013 годов</t>
  </si>
  <si>
    <t xml:space="preserve">городского бюджета по разделам, подразделам, целевым статьям и видам расходов </t>
  </si>
  <si>
    <t>функциональной классификации на плановый период 2012 и 2013 годов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</si>
  <si>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</si>
  <si>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  Субвенции на обеспечение социальной поддержки детей, обучающихся в муниципальных общеобразовательных учреждениях, из многодетных семей, 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 (кроме такси), а также в автобусах пригородных и внутрирайонных линий, и приобретение комплекта детской одежды для посещения школьных занятий, спортивной формы для занятий физической культурой</t>
  </si>
  <si>
    <t>Приложение 16</t>
  </si>
  <si>
    <t xml:space="preserve">городского бюджета по разделам, подразделам, целевым статьям и видам расходов в ведомственной структуре расходов </t>
  </si>
  <si>
    <t xml:space="preserve">  Субвенции на осуществление государственных полномочий, переданных исполнительно-распорядительным органам муниципальных образований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</si>
  <si>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Субвенции для осуществления  государственных полномочий, переданных исполнительно-распорядительным органам муниципальных образований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</si>
  <si>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 Выполнение функций государственными органами</t>
  </si>
  <si>
    <t xml:space="preserve">  Проведение выборов и референдумов </t>
  </si>
  <si>
    <t xml:space="preserve">  Резервные фонды</t>
  </si>
  <si>
    <t xml:space="preserve">  Руководство и управление в сфере установленных функций</t>
  </si>
  <si>
    <t xml:space="preserve">  Оценка недвижимости, признание прав и регулирование отношений по государственной  и муниципальной собственности</t>
  </si>
  <si>
    <t xml:space="preserve">   Выполнение других обязательств органов местного самоуправления</t>
  </si>
  <si>
    <t xml:space="preserve">  Субсидии некоммерческим организациям</t>
  </si>
  <si>
    <t xml:space="preserve">  Дворцы и дома культуры, другие учреждения культуры и средства массовой информации</t>
  </si>
  <si>
    <t xml:space="preserve">  Осуществление отдельных государственных полномочий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</si>
  <si>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</si>
  <si>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административных комиссий  </t>
  </si>
  <si>
    <t xml:space="preserve">  Субвенции на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</t>
  </si>
  <si>
    <t xml:space="preserve"> Органы внутренних дел</t>
  </si>
  <si>
    <t xml:space="preserve">  Вещевое обеспечение</t>
  </si>
  <si>
    <t xml:space="preserve">  Пособия и компенсации военнослужащим,  приравненным к ним лицам, а также уволенным из их числа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</si>
  <si>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</si>
  <si>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 Поисковые и аварийно-спасательные учреждения</t>
  </si>
  <si>
    <t xml:space="preserve"> Общеэкономические вопросы</t>
  </si>
  <si>
    <t xml:space="preserve"> Связь и информатика</t>
  </si>
  <si>
    <t xml:space="preserve">  Информационные технологии и связь</t>
  </si>
  <si>
    <t xml:space="preserve">  Бюджетные инвестиции в объекты капитального строительства, не включенные в целевые программы</t>
  </si>
  <si>
    <t xml:space="preserve">  Строительство объектов сметной стоимостью до 100 млн. руб.</t>
  </si>
  <si>
    <t xml:space="preserve">  Реализация государственных функций в области  национальной экономики</t>
  </si>
  <si>
    <t xml:space="preserve">   Субсидии некоммерческим организациям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</si>
  <si>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</si>
  <si>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</si>
  <si>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  Субсидии  юридическим лицам </t>
  </si>
  <si>
    <t xml:space="preserve">  Поддержка жилищного хозяйства</t>
  </si>
  <si>
    <t xml:space="preserve"> Коммунальное хозяйство</t>
  </si>
  <si>
    <t xml:space="preserve">  Строительство объектов сметной стоимостью до 100 млн. рублей</t>
  </si>
  <si>
    <t xml:space="preserve">  Поддержка коммунального хозяйства</t>
  </si>
  <si>
    <t xml:space="preserve"> Благоустройство</t>
  </si>
  <si>
    <t xml:space="preserve">  Строительство улицы Раахе (от Октябрьского пр. до ул.Рыбинской) на участке от Октябрьского пр. до ул. Годовикова</t>
  </si>
  <si>
    <t xml:space="preserve">  Реконструкция мостового перехода через реку Ягорбу по пр.Победы </t>
  </si>
  <si>
    <t xml:space="preserve">   Бюджетные инвестиции </t>
  </si>
  <si>
    <t xml:space="preserve"> Охрана объектов растительного и животного мира и среды их обитания</t>
  </si>
  <si>
    <t xml:space="preserve">  Субвенции на осуществление отдельных государственных полномочий в сфере охраны окружающей среды </t>
  </si>
  <si>
    <t xml:space="preserve"> Другие вопросы в области охраны окружающей среды</t>
  </si>
  <si>
    <t xml:space="preserve">  Детские дошкольные учреждения</t>
  </si>
  <si>
    <t xml:space="preserve">  Осуществление отдельных государственных полномочий в сфере образования </t>
  </si>
  <si>
    <t xml:space="preserve">  Субвенции на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</t>
  </si>
  <si>
    <t xml:space="preserve"> Общее образование</t>
  </si>
  <si>
    <t xml:space="preserve">  Школы-детские сады, школы начальные, неполные средние и средние</t>
  </si>
  <si>
    <t xml:space="preserve">  Субвенции из фонда компенсаций</t>
  </si>
  <si>
    <t xml:space="preserve">  Детские дома</t>
  </si>
  <si>
    <t xml:space="preserve">  Мероприятия в области образования</t>
  </si>
  <si>
    <t xml:space="preserve">  Совершенствование организации питания учащихся в общеобразовательных учреждениях</t>
  </si>
  <si>
    <t xml:space="preserve">  Субвенции на организацию и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</si>
  <si>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 xml:space="preserve">  Организационно-воспитательная работа с молодежью</t>
  </si>
  <si>
    <t xml:space="preserve">  Мероприятия по проведению оздоровительной кампании детей</t>
  </si>
  <si>
    <t xml:space="preserve">  Оздоровление детей</t>
  </si>
  <si>
    <t xml:space="preserve">   Субсидии юридическим лицам</t>
  </si>
  <si>
    <t xml:space="preserve">  Субсидии на реализацию долгосрочной целевой программы "Организация отдыха детей, их оздоровления и занятости в Вологодской области на 2009-2014 годы"</t>
  </si>
  <si>
    <t xml:space="preserve"> Другие вопросы в области образования</t>
  </si>
  <si>
    <t xml:space="preserve">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</si>
  <si>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</si>
  <si>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Субсидии на реализацию долгосрочной целевой программы "Развитие образования в сфере культуры и искусства в Вологодской области на 2010-2013 годы"</t>
  </si>
  <si>
    <t xml:space="preserve">  Субсидии на реализацию долгосрочной целевой программы "Безбарьерная среда" на 2010-2014 годы</t>
  </si>
  <si>
    <t xml:space="preserve">  "Одаренные дети" на 2011-2013 годы</t>
  </si>
  <si>
    <t xml:space="preserve"> Культура</t>
  </si>
  <si>
    <t xml:space="preserve">  Музеи и постоянные выставки</t>
  </si>
  <si>
    <t xml:space="preserve">  Библиотеки</t>
  </si>
  <si>
    <t xml:space="preserve">  Театры, цирки, концертные и другие организации исполнительских искусств</t>
  </si>
  <si>
    <t xml:space="preserve">  Мероприятия в сфере культуры, кинематографии и средств массовой информации</t>
  </si>
  <si>
    <t xml:space="preserve">  Государственная поддержка в сфере культуры, кинематографии, средств массовой информации</t>
  </si>
  <si>
    <t xml:space="preserve">   Мероприятия в сфере культуры</t>
  </si>
  <si>
    <t xml:space="preserve">  Субсидии на реализацию долгосрочной целевой программы "Пожарная безопасность учреждений культуры" на 2009-2011 годы</t>
  </si>
  <si>
    <t xml:space="preserve">  Субсидии на реализацию долгосрочной целевой программы "Развитие библиотечного дела в Вологодской области на 2009-2011 годы"</t>
  </si>
  <si>
    <t xml:space="preserve">  Субсидии на реализацию долгосрочной целевой программы "Традиционная народная культура как основа сохранения культурной самобытности Вологодской области на 2011-2014 годы"</t>
  </si>
  <si>
    <t xml:space="preserve"> Другие вопросы в области культуры, кинематографии </t>
  </si>
  <si>
    <t xml:space="preserve">  Больницы, клиники, госпитали, медико-санитарные части</t>
  </si>
  <si>
    <t xml:space="preserve">  Родильные дома</t>
  </si>
  <si>
    <t xml:space="preserve"> Амбулаторная помощь</t>
  </si>
  <si>
    <t xml:space="preserve">  Поликлиники, амбулатории, диагностические центры</t>
  </si>
  <si>
    <t xml:space="preserve"> Медицинская помощь в дневных стационарах всех типов</t>
  </si>
  <si>
    <t xml:space="preserve"> Скорая медицинская помощь </t>
  </si>
  <si>
    <t xml:space="preserve">  Станции скорой и неотложной  помощи</t>
  </si>
  <si>
    <t xml:space="preserve">  Иные безвозмездные и безвозвратные перечисления</t>
  </si>
  <si>
    <t xml:space="preserve">  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</si>
  <si>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 xml:space="preserve"> Санаторно-оздоровительная помощь</t>
  </si>
  <si>
    <t xml:space="preserve">  Санатории для детей и подростков</t>
  </si>
  <si>
    <t xml:space="preserve"> Другие вопросы в области здравоохранения</t>
  </si>
  <si>
    <t xml:space="preserve">  Учреждения, обеспечивающие предоставление услуг в сфере здравоохранения</t>
  </si>
  <si>
    <t xml:space="preserve">  Реализация государственных функций в области здравоохранения</t>
  </si>
  <si>
    <t xml:space="preserve">  Прочие мероприятия в области здравоохранения</t>
  </si>
  <si>
    <t xml:space="preserve">  Субсидии на обеспечениие мероприятий по восстановительному лечению работающих граждан после оказания им стационарной помощи</t>
  </si>
  <si>
    <t xml:space="preserve">  Субсидии на реализацию долгосрочной целевой программы "Эффективная и безопасная лучевая диагностика" на 2010-2012 годы </t>
  </si>
  <si>
    <t xml:space="preserve">  Субсидии на реализацию долгосрочной целевой программы "Пожарная безопасность учреждений здравоохранения" на 2009-2012 годы</t>
  </si>
  <si>
    <t xml:space="preserve"> Пенсионное  обеспечение</t>
  </si>
  <si>
    <t xml:space="preserve">  Доплаты к пенсиям, дополнительное пенсионное обеспечение</t>
  </si>
  <si>
    <t xml:space="preserve">  Доплаты к пенсиям государственных служащих субъектов Российской Федерации и муниципальных служащих</t>
  </si>
  <si>
    <t xml:space="preserve">   Социальные выплаты</t>
  </si>
  <si>
    <t xml:space="preserve">  Социальная помощь</t>
  </si>
  <si>
    <t xml:space="preserve"> 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</si>
  <si>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  Мероприятия в области социальной политики  </t>
  </si>
  <si>
    <t xml:space="preserve">  Субсидии на реализацию долгосрочной целевой программы "Обеспечение жильем молодых семей в Вологодской области  на 2009-2011 годы"</t>
  </si>
  <si>
    <t xml:space="preserve"> Охрана  семьи и детства</t>
  </si>
  <si>
    <t xml:space="preserve"> Другие вопросы в области социальной политики</t>
  </si>
  <si>
    <t xml:space="preserve"> "Здоровый город" на 2009-2015 годы</t>
  </si>
  <si>
    <t xml:space="preserve"> "Безбарьерная среда" на 2011-2013 годы</t>
  </si>
  <si>
    <t xml:space="preserve"> Физическая культура</t>
  </si>
  <si>
    <t xml:space="preserve">  Физкультурно-оздоровительная работа и спортивные мероприятия</t>
  </si>
  <si>
    <t xml:space="preserve">  Мероприятия в области здравоохранения, спорта и физической культуры, туризма </t>
  </si>
  <si>
    <t xml:space="preserve">   Долгосрочные городские целевые программы</t>
  </si>
  <si>
    <t xml:space="preserve">    Мероприятия в области здравоохранения, спорта и физической культуры, туризма</t>
  </si>
  <si>
    <t xml:space="preserve">  "Спортивный город" на 2009-2011 годы</t>
  </si>
  <si>
    <t xml:space="preserve"> Массовый спорт</t>
  </si>
  <si>
    <t xml:space="preserve"> Спорт высших достижений</t>
  </si>
  <si>
    <t xml:space="preserve">  Реализация государственных функций в области физической культуры и спорта</t>
  </si>
  <si>
    <t xml:space="preserve">  Мероприятия в области спорта и физической культуры</t>
  </si>
  <si>
    <t xml:space="preserve">  Субсидии на поддержку и развитие физической культуры и спорта</t>
  </si>
  <si>
    <t xml:space="preserve"> Другие вопросы в области физической культуры и спорта</t>
  </si>
  <si>
    <t xml:space="preserve"> Периодическая печать и издательства</t>
  </si>
  <si>
    <t xml:space="preserve">  Периодические издания, учрежденные органами местного самоуправления</t>
  </si>
  <si>
    <t xml:space="preserve"> Обслуживание внутреннего государственного и муниципального долга </t>
  </si>
  <si>
    <t xml:space="preserve">  Процентные платежи по долговым обязательствам</t>
  </si>
  <si>
    <t xml:space="preserve"> Культура </t>
  </si>
  <si>
    <t xml:space="preserve"> Пенсионное обеспечение</t>
  </si>
  <si>
    <t xml:space="preserve"> Охрана семьи и детства</t>
  </si>
  <si>
    <t xml:space="preserve"> Обслуживание внутреннего государственного и муниципального долга</t>
  </si>
  <si>
    <t xml:space="preserve">  Осуществление полномочий органами местного самоуправления в области содействия занятости населения</t>
  </si>
  <si>
    <t xml:space="preserve">   Информационные технологии и связь</t>
  </si>
  <si>
    <t xml:space="preserve"> Переодическая печать и издательства</t>
  </si>
  <si>
    <t xml:space="preserve">  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</si>
  <si>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 xml:space="preserve">  Строительство объектов общегражданского назначения</t>
  </si>
  <si>
    <t xml:space="preserve">   Строительство объектов сметной стоимостью до 100 млн. руб.</t>
  </si>
  <si>
    <t xml:space="preserve">    Закольцовка системы газоснабжения  Зашекснинского района </t>
  </si>
  <si>
    <t xml:space="preserve">  Строительство магистральных сетей для застройки Зашекснинского района (112 мкр.)</t>
  </si>
  <si>
    <t xml:space="preserve">  Общеэкономические вопросы</t>
  </si>
  <si>
    <t>510 00 00</t>
  </si>
  <si>
    <t xml:space="preserve">  Реализация государственной политики занятости населения</t>
  </si>
  <si>
    <t>510 02 00</t>
  </si>
  <si>
    <t xml:space="preserve"> Осуществление полномочий органами местного самоуправления в области содействия занятости населения</t>
  </si>
  <si>
    <t xml:space="preserve">    Реконструкция мостового перехода через р. Ягорбу по пр. Победы (субсидии на капитальные вложения)</t>
  </si>
  <si>
    <t xml:space="preserve">   Транспортная развязка Октябрьский мост - ул. Раахе (субсидии на капитальные вложения)</t>
  </si>
  <si>
    <t xml:space="preserve">    Реконструкция путепровода через пр. Победы в районе ул. Судостроительной (проектно-сметная документация) (субсидии на капитальные вложения)</t>
  </si>
  <si>
    <t xml:space="preserve">   "Экология города" на 2009-2015 годы</t>
  </si>
  <si>
    <t xml:space="preserve">  Специальные (коррекционные)  учреждения</t>
  </si>
  <si>
    <t xml:space="preserve"> Субсидии некоммерческим организациям в области жилищно-коммунального хозяйства</t>
  </si>
  <si>
    <t xml:space="preserve">   Субсидии некоммерческим организациям
</t>
  </si>
  <si>
    <t xml:space="preserve">   Строительство детского сада  № 21 в 112 мкр. (субсидии на капитальные вложения)</t>
  </si>
  <si>
    <t xml:space="preserve">  Субсидии  на реализацию долгосрочной целевой программы "Здоровое  школьное  питание  на 2009-2015 годы"</t>
  </si>
  <si>
    <t>Субсидии на реализацию долгосрочной целевой программы "Развитие библиотечного дела в Вологодской области на 2009-2011 годы"</t>
  </si>
  <si>
    <t xml:space="preserve">   "Спортивный город" на 2009-2011 годы</t>
  </si>
  <si>
    <t xml:space="preserve"> Мероприятия в сфере культуры, кинематографии и средств массовой информации</t>
  </si>
  <si>
    <t xml:space="preserve">   Пристройка к зданию МУК "ГДК "Аммофос" (субсидии на капитальные вложения)</t>
  </si>
  <si>
    <t xml:space="preserve">   Строительство объектов общегражданского назначения</t>
  </si>
  <si>
    <t xml:space="preserve">   Строительство пристройки к зданию МУК "ГДК "Аммофос"</t>
  </si>
  <si>
    <t xml:space="preserve">  "Экология города" на 2009-2015 годы</t>
  </si>
  <si>
    <t xml:space="preserve">  Субсидии на 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</si>
  <si>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"Спортивный город" на 2009-2011 годы</t>
  </si>
  <si>
    <t>"Экология города" на 2009-2015 годы</t>
  </si>
  <si>
    <t>"Обеспечение жильем молодых семей" на 2009-2010 годы</t>
  </si>
  <si>
    <t>431 99 00</t>
  </si>
  <si>
    <t>431 95 00</t>
  </si>
  <si>
    <t xml:space="preserve">Итого расходов </t>
  </si>
  <si>
    <t xml:space="preserve">   Мероприятия по поддержке и развитию культуры, искусства, кинематографии, средств массовой информации и архивного дела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</si>
  <si>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</si>
  <si>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</si>
  <si>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</si>
  <si>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</si>
  <si>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</si>
  <si>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</si>
  <si>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</si>
  <si>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</si>
  <si>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</si>
  <si>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</si>
  <si>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</si>
  <si>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 xml:space="preserve">  Городские мероприятия в области социальной политики  </t>
  </si>
  <si>
    <t>476 95 00</t>
  </si>
  <si>
    <t>Медицинская помощь в дневных стационарах всех типов</t>
  </si>
  <si>
    <t>477 95 00</t>
  </si>
  <si>
    <t>102 02 00</t>
  </si>
  <si>
    <t xml:space="preserve"> 05 </t>
  </si>
  <si>
    <t>102 02 02</t>
  </si>
  <si>
    <t>102 02 01</t>
  </si>
  <si>
    <t>102 02 09</t>
  </si>
  <si>
    <t xml:space="preserve">   Бюджетные инвестиции в объекты капитального строительства, не включенные в целевые программы</t>
  </si>
  <si>
    <t>102 02 03</t>
  </si>
  <si>
    <t>102 02 10</t>
  </si>
  <si>
    <t>102 02 05</t>
  </si>
  <si>
    <t>102 02 06</t>
  </si>
  <si>
    <t>102 02 07</t>
  </si>
  <si>
    <t>102 02 08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</si>
</sst>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16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0" fontId="1" fillId="0" borderId="2" xfId="19" applyNumberFormat="1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/>
      <protection/>
    </xf>
    <xf numFmtId="49" fontId="1" fillId="2" borderId="2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" fillId="0" borderId="2" xfId="18" applyNumberFormat="1" applyFont="1" applyFill="1" applyBorder="1" applyAlignment="1" applyProtection="1">
      <alignment horizontal="left" vertical="center" wrapText="1"/>
      <protection hidden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Fill="1" applyBorder="1" applyAlignment="1" applyProtection="1">
      <alignment/>
      <protection/>
    </xf>
    <xf numFmtId="0" fontId="11" fillId="0" borderId="2" xfId="19" applyNumberFormat="1" applyFont="1" applyFill="1" applyBorder="1" applyAlignment="1" applyProtection="1">
      <alignment horizontal="left" vertical="center" wrapText="1"/>
      <protection hidden="1"/>
    </xf>
    <xf numFmtId="49" fontId="1" fillId="2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Border="1" applyAlignment="1">
      <alignment/>
    </xf>
    <xf numFmtId="0" fontId="1" fillId="2" borderId="0" xfId="0" applyNumberFormat="1" applyFont="1" applyFill="1" applyBorder="1" applyAlignment="1" applyProtection="1">
      <alignment horizontal="right" vertical="top"/>
      <protection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center" wrapText="1"/>
      <protection/>
    </xf>
    <xf numFmtId="0" fontId="4" fillId="2" borderId="5" xfId="0" applyFont="1" applyFill="1" applyBorder="1" applyAlignment="1">
      <alignment/>
    </xf>
    <xf numFmtId="0" fontId="1" fillId="2" borderId="2" xfId="0" applyNumberFormat="1" applyFont="1" applyFill="1" applyBorder="1" applyAlignment="1" applyProtection="1">
      <alignment horizontal="left" vertical="top" wrapText="1"/>
      <protection/>
    </xf>
    <xf numFmtId="0" fontId="1" fillId="2" borderId="2" xfId="0" applyNumberFormat="1" applyFont="1" applyFill="1" applyBorder="1" applyAlignment="1" applyProtection="1">
      <alignment horizontal="left" vertical="top" wrapText="1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19" applyNumberFormat="1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center"/>
      <protection/>
    </xf>
    <xf numFmtId="0" fontId="0" fillId="2" borderId="5" xfId="0" applyFill="1" applyBorder="1" applyAlignment="1">
      <alignment/>
    </xf>
    <xf numFmtId="4" fontId="7" fillId="2" borderId="0" xfId="0" applyNumberFormat="1" applyFont="1" applyFill="1" applyBorder="1" applyAlignment="1" applyProtection="1">
      <alignment horizontal="right"/>
      <protection/>
    </xf>
    <xf numFmtId="164" fontId="7" fillId="2" borderId="0" xfId="0" applyNumberFormat="1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12" fillId="2" borderId="5" xfId="0" applyFont="1" applyFill="1" applyBorder="1" applyAlignment="1">
      <alignment/>
    </xf>
    <xf numFmtId="0" fontId="8" fillId="2" borderId="2" xfId="0" applyNumberFormat="1" applyFont="1" applyFill="1" applyBorder="1" applyAlignment="1">
      <alignment horizontal="left" vertical="top" wrapText="1"/>
    </xf>
    <xf numFmtId="0" fontId="1" fillId="2" borderId="2" xfId="18" applyNumberFormat="1" applyFont="1" applyFill="1" applyBorder="1" applyAlignment="1" applyProtection="1">
      <alignment horizontal="left" vertical="center" wrapText="1"/>
      <protection hidden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1" fillId="2" borderId="2" xfId="0" applyNumberFormat="1" applyFont="1" applyFill="1" applyBorder="1" applyAlignment="1" applyProtection="1">
      <alignment horizontal="center"/>
      <protection/>
    </xf>
    <xf numFmtId="49" fontId="1" fillId="2" borderId="2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0" fontId="11" fillId="2" borderId="2" xfId="19" applyNumberFormat="1" applyFont="1" applyFill="1" applyBorder="1" applyAlignment="1" applyProtection="1">
      <alignment horizontal="left" vertical="center" wrapText="1"/>
      <protection hidden="1"/>
    </xf>
    <xf numFmtId="49" fontId="1" fillId="2" borderId="2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4" fillId="2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8" fillId="0" borderId="2" xfId="0" applyFont="1" applyBorder="1" applyAlignment="1">
      <alignment horizontal="justify"/>
    </xf>
    <xf numFmtId="0" fontId="8" fillId="0" borderId="2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justify" vertical="top" wrapText="1"/>
      <protection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left" wrapText="1"/>
    </xf>
    <xf numFmtId="0" fontId="11" fillId="0" borderId="5" xfId="0" applyFont="1" applyBorder="1" applyAlignment="1">
      <alignment/>
    </xf>
    <xf numFmtId="164" fontId="1" fillId="0" borderId="2" xfId="0" applyNumberFormat="1" applyFont="1" applyFill="1" applyBorder="1" applyAlignment="1" applyProtection="1">
      <alignment horizontal="right" wrapText="1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2" xfId="0" applyNumberFormat="1" applyFont="1" applyFill="1" applyBorder="1" applyAlignment="1" applyProtection="1">
      <alignment wrapText="1"/>
      <protection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1" name="Shap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2" name="Shap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3" name="Shap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4" name="Shap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5" name="Shap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6" name="Shap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904875</xdr:colOff>
      <xdr:row>0</xdr:row>
      <xdr:rowOff>0</xdr:rowOff>
    </xdr:to>
    <xdr:pic>
      <xdr:nvPicPr>
        <xdr:cNvPr id="7" name="Shap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0</xdr:row>
      <xdr:rowOff>0</xdr:rowOff>
    </xdr:from>
    <xdr:to>
      <xdr:col>15</xdr:col>
      <xdr:colOff>123825</xdr:colOff>
      <xdr:row>0</xdr:row>
      <xdr:rowOff>0</xdr:rowOff>
    </xdr:to>
    <xdr:pic>
      <xdr:nvPicPr>
        <xdr:cNvPr id="8" name="Shap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&#1087;&#1086;%20&#1088;&#1072;&#1089;&#1093;&#1086;&#1076;%20-2011-(&#1088;&#1072;&#1073;&#1086;&#1095;&#1072;&#1103;%20)&#1089;%20&#1101;&#1082;&#1089;&#1087;&#1077;&#1088;&#1090;&#1085;&#1099;&#1084;%20&#1085;&#1072;%2001.10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1"/>
      <sheetName val="ОМС"/>
      <sheetName val="свод 2011 с новыми доходами"/>
      <sheetName val="Свод после экспертного"/>
      <sheetName val="расшифровка прогноза 2011"/>
    </sheetNames>
    <sheetDataSet>
      <sheetData sheetId="4">
        <row r="265">
          <cell r="U265">
            <v>3019869.400000001</v>
          </cell>
          <cell r="V265">
            <v>3096951.5000000005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showZeros="0" view="pageBreakPreview" zoomScale="75" zoomScaleNormal="75" zoomScaleSheetLayoutView="75" workbookViewId="0" topLeftCell="A33">
      <selection activeCell="F66" sqref="F66"/>
    </sheetView>
  </sheetViews>
  <sheetFormatPr defaultColWidth="9.00390625" defaultRowHeight="12.75"/>
  <cols>
    <col min="1" max="1" width="77.875" style="0" customWidth="1"/>
    <col min="2" max="2" width="12.25390625" style="0" customWidth="1"/>
    <col min="3" max="3" width="12.875" style="0" customWidth="1"/>
    <col min="4" max="4" width="26.00390625" style="0" hidden="1" customWidth="1"/>
    <col min="5" max="5" width="20.125" style="0" customWidth="1"/>
    <col min="6" max="6" width="20.875" style="0" customWidth="1"/>
  </cols>
  <sheetData>
    <row r="1" ht="16.5" customHeight="1">
      <c r="D1" s="8"/>
    </row>
    <row r="2" spans="4:5" ht="19.5" customHeight="1">
      <c r="D2" s="8"/>
      <c r="E2" s="28" t="s">
        <v>633</v>
      </c>
    </row>
    <row r="3" spans="4:5" ht="18.75" customHeight="1">
      <c r="D3" s="8"/>
      <c r="E3" s="28" t="s">
        <v>318</v>
      </c>
    </row>
    <row r="4" spans="4:5" ht="20.25" customHeight="1">
      <c r="D4" s="8"/>
      <c r="E4" s="28" t="s">
        <v>319</v>
      </c>
    </row>
    <row r="5" spans="1:5" ht="16.5" customHeight="1">
      <c r="A5" t="s">
        <v>630</v>
      </c>
      <c r="B5" s="13"/>
      <c r="D5" s="8"/>
      <c r="E5" s="8" t="s">
        <v>628</v>
      </c>
    </row>
    <row r="6" spans="3:4" ht="16.5" customHeight="1" hidden="1">
      <c r="C6" s="8"/>
      <c r="D6" s="8"/>
    </row>
    <row r="7" ht="16.5" customHeight="1" hidden="1">
      <c r="C7" s="28"/>
    </row>
    <row r="8" ht="16.5" customHeight="1" hidden="1">
      <c r="C8" s="28"/>
    </row>
    <row r="9" ht="16.5" customHeight="1" hidden="1">
      <c r="C9" s="28"/>
    </row>
    <row r="10" ht="16.5" customHeight="1" hidden="1">
      <c r="C10" s="28"/>
    </row>
    <row r="11" spans="1:3" ht="16.5" hidden="1">
      <c r="A11" s="2"/>
      <c r="B11" s="2"/>
      <c r="C11" s="28"/>
    </row>
    <row r="12" spans="1:4" ht="15.75" customHeight="1">
      <c r="A12" s="3"/>
      <c r="B12" s="3"/>
      <c r="C12" s="1"/>
      <c r="D12" s="1"/>
    </row>
    <row r="13" spans="1:6" ht="18.75" customHeight="1">
      <c r="A13" s="147" t="s">
        <v>631</v>
      </c>
      <c r="B13" s="148"/>
      <c r="C13" s="148"/>
      <c r="D13" s="148"/>
      <c r="E13" s="148"/>
      <c r="F13" s="148"/>
    </row>
    <row r="14" spans="1:6" ht="21" customHeight="1">
      <c r="A14" s="151" t="s">
        <v>629</v>
      </c>
      <c r="B14" s="148"/>
      <c r="C14" s="148"/>
      <c r="D14" s="148"/>
      <c r="E14" s="148"/>
      <c r="F14" s="148"/>
    </row>
    <row r="15" spans="1:6" ht="18.75" customHeight="1">
      <c r="A15" s="151" t="s">
        <v>636</v>
      </c>
      <c r="B15" s="152"/>
      <c r="C15" s="152"/>
      <c r="D15" s="152"/>
      <c r="E15" s="152"/>
      <c r="F15" s="152"/>
    </row>
    <row r="16" spans="1:4" ht="16.5" customHeight="1" hidden="1">
      <c r="A16" s="2" t="s">
        <v>802</v>
      </c>
      <c r="B16" s="2"/>
      <c r="C16" s="2"/>
      <c r="D16" s="2"/>
    </row>
    <row r="17" spans="1:5" ht="15" customHeight="1">
      <c r="A17" s="2"/>
      <c r="B17" s="2"/>
      <c r="C17" s="2"/>
      <c r="D17" s="17"/>
      <c r="E17" s="61"/>
    </row>
    <row r="18" spans="1:4" ht="14.25" customHeight="1">
      <c r="A18" s="2"/>
      <c r="B18" s="2"/>
      <c r="C18" s="2"/>
      <c r="D18" s="37" t="s">
        <v>507</v>
      </c>
    </row>
    <row r="19" spans="1:6" ht="21" customHeight="1">
      <c r="A19" s="153" t="s">
        <v>803</v>
      </c>
      <c r="B19" s="153" t="s">
        <v>804</v>
      </c>
      <c r="C19" s="153" t="s">
        <v>805</v>
      </c>
      <c r="D19" s="155" t="s">
        <v>259</v>
      </c>
      <c r="E19" s="149" t="s">
        <v>627</v>
      </c>
      <c r="F19" s="150"/>
    </row>
    <row r="20" spans="1:6" ht="20.25" customHeight="1">
      <c r="A20" s="154"/>
      <c r="B20" s="154"/>
      <c r="C20" s="154"/>
      <c r="D20" s="156"/>
      <c r="E20" s="144" t="s">
        <v>260</v>
      </c>
      <c r="F20" s="145" t="s">
        <v>261</v>
      </c>
    </row>
    <row r="21" spans="1:6" ht="8.25" customHeight="1" hidden="1">
      <c r="A21" s="9"/>
      <c r="B21" s="10"/>
      <c r="C21" s="11"/>
      <c r="D21" s="10"/>
      <c r="E21" s="33"/>
      <c r="F21" s="33"/>
    </row>
    <row r="22" spans="1:6" ht="21" customHeight="1">
      <c r="A22" s="45" t="s">
        <v>806</v>
      </c>
      <c r="B22" s="5" t="s">
        <v>807</v>
      </c>
      <c r="C22" s="5"/>
      <c r="D22" s="142">
        <f>SUM(D23:D30)</f>
        <v>302014.3</v>
      </c>
      <c r="E22" s="142">
        <f>SUM(E23:E30)</f>
        <v>273895.1</v>
      </c>
      <c r="F22" s="142">
        <f>SUM(F23:F30)</f>
        <v>276979</v>
      </c>
    </row>
    <row r="23" spans="1:6" ht="34.5" customHeight="1">
      <c r="A23" s="38" t="s">
        <v>37</v>
      </c>
      <c r="B23" s="5" t="s">
        <v>807</v>
      </c>
      <c r="C23" s="5" t="s">
        <v>808</v>
      </c>
      <c r="D23" s="142">
        <f>'прил.14'!G17</f>
        <v>2114.3</v>
      </c>
      <c r="E23" s="142">
        <f>'прил.14'!H17</f>
        <v>2114.3</v>
      </c>
      <c r="F23" s="142">
        <f>'прил.14'!I17</f>
        <v>2114.3</v>
      </c>
    </row>
    <row r="24" spans="1:6" ht="54" customHeight="1">
      <c r="A24" s="45" t="s">
        <v>624</v>
      </c>
      <c r="B24" s="5" t="s">
        <v>807</v>
      </c>
      <c r="C24" s="5" t="s">
        <v>809</v>
      </c>
      <c r="D24" s="34">
        <f>'прил.14'!G21</f>
        <v>18178.5</v>
      </c>
      <c r="E24" s="34">
        <f>'прил.14'!H21</f>
        <v>17403</v>
      </c>
      <c r="F24" s="34">
        <f>'прил.14'!I21</f>
        <v>17446.5</v>
      </c>
    </row>
    <row r="25" spans="1:6" ht="51.75" customHeight="1">
      <c r="A25" s="41" t="s">
        <v>46</v>
      </c>
      <c r="B25" s="5" t="s">
        <v>807</v>
      </c>
      <c r="C25" s="5" t="s">
        <v>810</v>
      </c>
      <c r="D25" s="142">
        <f>'прил.14'!G29</f>
        <v>93195.7</v>
      </c>
      <c r="E25" s="142">
        <f>'прил.14'!H29</f>
        <v>90310</v>
      </c>
      <c r="F25" s="142">
        <f>'прил.14'!I29</f>
        <v>90561.70000000001</v>
      </c>
    </row>
    <row r="26" spans="1:6" ht="19.5" customHeight="1">
      <c r="A26" s="41" t="s">
        <v>626</v>
      </c>
      <c r="B26" s="5" t="s">
        <v>807</v>
      </c>
      <c r="C26" s="5" t="s">
        <v>59</v>
      </c>
      <c r="D26" s="142">
        <f>'прил.14'!G40</f>
        <v>0</v>
      </c>
      <c r="E26" s="142">
        <f>'прил.14'!H40</f>
        <v>211.7</v>
      </c>
      <c r="F26" s="142">
        <f>'прил.14'!I40</f>
        <v>0</v>
      </c>
    </row>
    <row r="27" spans="1:6" ht="38.25" customHeight="1">
      <c r="A27" s="45" t="s">
        <v>632</v>
      </c>
      <c r="B27" s="5" t="s">
        <v>807</v>
      </c>
      <c r="C27" s="5" t="s">
        <v>811</v>
      </c>
      <c r="D27" s="142">
        <f>'прил.14'!G43</f>
        <v>26238.7</v>
      </c>
      <c r="E27" s="142">
        <f>'прил.14'!H43</f>
        <v>26250.6</v>
      </c>
      <c r="F27" s="142">
        <f>'прил.14'!I43</f>
        <v>26261.8</v>
      </c>
    </row>
    <row r="28" spans="1:6" ht="18" customHeight="1" hidden="1">
      <c r="A28" s="20" t="s">
        <v>538</v>
      </c>
      <c r="B28" s="5" t="s">
        <v>807</v>
      </c>
      <c r="C28" s="5" t="s">
        <v>529</v>
      </c>
      <c r="D28" s="142">
        <f>'прил.14'!G50</f>
        <v>2005.6</v>
      </c>
      <c r="E28" s="142">
        <f>'прил.14'!H50</f>
        <v>0</v>
      </c>
      <c r="F28" s="142">
        <f>'прил.14'!I50</f>
        <v>0</v>
      </c>
    </row>
    <row r="29" spans="1:6" ht="18" customHeight="1">
      <c r="A29" s="45" t="s">
        <v>325</v>
      </c>
      <c r="B29" s="5" t="s">
        <v>807</v>
      </c>
      <c r="C29" s="5" t="s">
        <v>62</v>
      </c>
      <c r="D29" s="142">
        <f>'прил.14'!G54</f>
        <v>41443.399999999994</v>
      </c>
      <c r="E29" s="142">
        <f>'прил.14'!H54</f>
        <v>50000</v>
      </c>
      <c r="F29" s="142">
        <f>'прил.14'!I54</f>
        <v>50000</v>
      </c>
    </row>
    <row r="30" spans="1:6" ht="19.5" customHeight="1">
      <c r="A30" s="45" t="s">
        <v>327</v>
      </c>
      <c r="B30" s="5" t="s">
        <v>807</v>
      </c>
      <c r="C30" s="5" t="s">
        <v>508</v>
      </c>
      <c r="D30" s="142">
        <f>'прил.14'!G58</f>
        <v>118838.09999999999</v>
      </c>
      <c r="E30" s="142">
        <f>'прил.14'!H58</f>
        <v>87605.5</v>
      </c>
      <c r="F30" s="142">
        <f>'прил.14'!I58</f>
        <v>90594.7</v>
      </c>
    </row>
    <row r="31" spans="1:6" ht="34.5" customHeight="1">
      <c r="A31" s="45" t="s">
        <v>210</v>
      </c>
      <c r="B31" s="5" t="s">
        <v>809</v>
      </c>
      <c r="C31" s="5"/>
      <c r="D31" s="142">
        <f>SUM(D32:D34)</f>
        <v>61553.2</v>
      </c>
      <c r="E31" s="142">
        <f>SUM(E32:E34)</f>
        <v>58288.600000000006</v>
      </c>
      <c r="F31" s="142">
        <f>SUM(F32:F34)</f>
        <v>58819.5</v>
      </c>
    </row>
    <row r="32" spans="1:6" ht="19.5" customHeight="1">
      <c r="A32" s="45" t="s">
        <v>657</v>
      </c>
      <c r="B32" s="5" t="s">
        <v>809</v>
      </c>
      <c r="C32" s="5" t="s">
        <v>808</v>
      </c>
      <c r="D32" s="142">
        <f>'прил.14'!G99</f>
        <v>23212.2</v>
      </c>
      <c r="E32" s="142">
        <f>'прил.14'!H99</f>
        <v>23339.600000000002</v>
      </c>
      <c r="F32" s="142">
        <f>'прил.14'!I99</f>
        <v>23440.1</v>
      </c>
    </row>
    <row r="33" spans="1:6" ht="36.75" customHeight="1">
      <c r="A33" s="45" t="s">
        <v>660</v>
      </c>
      <c r="B33" s="5" t="s">
        <v>809</v>
      </c>
      <c r="C33" s="5" t="s">
        <v>57</v>
      </c>
      <c r="D33" s="142">
        <f>'прил.14'!G111</f>
        <v>38341</v>
      </c>
      <c r="E33" s="142">
        <f>'прил.14'!H111</f>
        <v>34949</v>
      </c>
      <c r="F33" s="142">
        <f>'прил.14'!I111</f>
        <v>35379.4</v>
      </c>
    </row>
    <row r="34" spans="1:6" ht="33" customHeight="1" hidden="1">
      <c r="A34" s="45" t="s">
        <v>248</v>
      </c>
      <c r="B34" s="5" t="s">
        <v>809</v>
      </c>
      <c r="C34" s="5" t="s">
        <v>571</v>
      </c>
      <c r="D34" s="142">
        <f>'прил.14'!G121</f>
        <v>0</v>
      </c>
      <c r="E34" s="142">
        <f>'прил.14'!H121</f>
        <v>0</v>
      </c>
      <c r="F34" s="142">
        <f>'прил.14'!I121</f>
        <v>0</v>
      </c>
    </row>
    <row r="35" spans="1:6" ht="19.5" customHeight="1">
      <c r="A35" s="45" t="s">
        <v>58</v>
      </c>
      <c r="B35" s="5" t="s">
        <v>810</v>
      </c>
      <c r="C35" s="5"/>
      <c r="D35" s="142">
        <f>SUM(D36:D38)</f>
        <v>148281.90000000002</v>
      </c>
      <c r="E35" s="142">
        <f>SUM(E36:E38)</f>
        <v>126825.1</v>
      </c>
      <c r="F35" s="142">
        <f>SUM(F36:F38)</f>
        <v>124417.79999999999</v>
      </c>
    </row>
    <row r="36" spans="1:6" ht="19.5" customHeight="1" hidden="1">
      <c r="A36" s="42" t="s">
        <v>662</v>
      </c>
      <c r="B36" s="5" t="s">
        <v>810</v>
      </c>
      <c r="C36" s="5" t="s">
        <v>807</v>
      </c>
      <c r="D36" s="142">
        <f>'прил.14'!G125</f>
        <v>1418.3</v>
      </c>
      <c r="E36" s="142">
        <f>'прил.14'!H125</f>
        <v>0</v>
      </c>
      <c r="F36" s="142">
        <f>'прил.14'!I125</f>
        <v>0</v>
      </c>
    </row>
    <row r="37" spans="1:6" ht="16.5" customHeight="1">
      <c r="A37" s="45" t="s">
        <v>663</v>
      </c>
      <c r="B37" s="5" t="s">
        <v>810</v>
      </c>
      <c r="C37" s="5" t="s">
        <v>492</v>
      </c>
      <c r="D37" s="142">
        <f>'прил.14'!G134</f>
        <v>45290</v>
      </c>
      <c r="E37" s="142">
        <f>'прил.14'!H134</f>
        <v>33992.6</v>
      </c>
      <c r="F37" s="142">
        <f>'прил.14'!I134</f>
        <v>34376.9</v>
      </c>
    </row>
    <row r="38" spans="1:6" ht="21" customHeight="1">
      <c r="A38" s="45" t="s">
        <v>433</v>
      </c>
      <c r="B38" s="5" t="s">
        <v>810</v>
      </c>
      <c r="C38" s="5" t="s">
        <v>530</v>
      </c>
      <c r="D38" s="142">
        <f>'прил.14'!G138</f>
        <v>101573.6</v>
      </c>
      <c r="E38" s="142">
        <f>'прил.14'!H138</f>
        <v>92832.5</v>
      </c>
      <c r="F38" s="142">
        <f>'прил.14'!I138</f>
        <v>90040.9</v>
      </c>
    </row>
    <row r="39" spans="1:6" ht="21" customHeight="1">
      <c r="A39" s="45" t="s">
        <v>63</v>
      </c>
      <c r="B39" s="5" t="s">
        <v>59</v>
      </c>
      <c r="C39" s="5"/>
      <c r="D39" s="142">
        <f>SUM(D40:D43)</f>
        <v>1227383.7</v>
      </c>
      <c r="E39" s="142">
        <f>SUM(E40:E43)</f>
        <v>957131.8999999999</v>
      </c>
      <c r="F39" s="142">
        <f>SUM(F40:F43)</f>
        <v>570664.0999999999</v>
      </c>
    </row>
    <row r="40" spans="1:6" ht="16.5">
      <c r="A40" s="45" t="s">
        <v>169</v>
      </c>
      <c r="B40" s="5" t="s">
        <v>59</v>
      </c>
      <c r="C40" s="5" t="s">
        <v>807</v>
      </c>
      <c r="D40" s="142">
        <f>'прил.14'!G158</f>
        <v>54739.1</v>
      </c>
      <c r="E40" s="142">
        <f>'прил.14'!H158</f>
        <v>3834.2</v>
      </c>
      <c r="F40" s="142">
        <f>'прил.14'!I158</f>
        <v>3834.2</v>
      </c>
    </row>
    <row r="41" spans="1:6" ht="16.5">
      <c r="A41" s="45" t="s">
        <v>673</v>
      </c>
      <c r="B41" s="5" t="s">
        <v>59</v>
      </c>
      <c r="C41" s="5" t="s">
        <v>808</v>
      </c>
      <c r="D41" s="142">
        <f>'прил.14'!G184</f>
        <v>33500</v>
      </c>
      <c r="E41" s="142">
        <f>'прил.14'!H184</f>
        <v>2300</v>
      </c>
      <c r="F41" s="142">
        <f>'прил.14'!I184</f>
        <v>4320</v>
      </c>
    </row>
    <row r="42" spans="1:6" ht="16.5">
      <c r="A42" s="20" t="s">
        <v>676</v>
      </c>
      <c r="B42" s="5" t="s">
        <v>59</v>
      </c>
      <c r="C42" s="5" t="s">
        <v>809</v>
      </c>
      <c r="D42" s="142">
        <f>'прил.14'!G208</f>
        <v>1123171.9</v>
      </c>
      <c r="E42" s="142">
        <f>'прил.14'!H208</f>
        <v>935014.2</v>
      </c>
      <c r="F42" s="142">
        <f>'прил.14'!I208</f>
        <v>546516.0999999999</v>
      </c>
    </row>
    <row r="43" spans="1:6" ht="18.75" customHeight="1">
      <c r="A43" s="45" t="s">
        <v>425</v>
      </c>
      <c r="B43" s="5" t="s">
        <v>59</v>
      </c>
      <c r="C43" s="5" t="s">
        <v>59</v>
      </c>
      <c r="D43" s="142">
        <f>'прил.14'!G247</f>
        <v>15972.699999999999</v>
      </c>
      <c r="E43" s="142">
        <f>'прил.14'!H247</f>
        <v>15983.5</v>
      </c>
      <c r="F43" s="142">
        <f>'прил.14'!I247</f>
        <v>15993.8</v>
      </c>
    </row>
    <row r="44" spans="1:6" ht="16.5">
      <c r="A44" s="45" t="s">
        <v>131</v>
      </c>
      <c r="B44" s="5" t="s">
        <v>811</v>
      </c>
      <c r="C44" s="5"/>
      <c r="D44" s="142">
        <f>SUM(D46,D45)</f>
        <v>18767.2</v>
      </c>
      <c r="E44" s="142">
        <f>SUM(E46,E45)</f>
        <v>16189.699999999999</v>
      </c>
      <c r="F44" s="142">
        <f>SUM(F46,F45)</f>
        <v>17023.600000000002</v>
      </c>
    </row>
    <row r="45" spans="1:6" ht="18.75" customHeight="1">
      <c r="A45" s="53" t="s">
        <v>680</v>
      </c>
      <c r="B45" s="5" t="s">
        <v>811</v>
      </c>
      <c r="C45" s="5" t="s">
        <v>809</v>
      </c>
      <c r="D45" s="142">
        <f>'прил.14'!G252</f>
        <v>2018.4</v>
      </c>
      <c r="E45" s="142">
        <f>'прил.14'!H252</f>
        <v>2018.4</v>
      </c>
      <c r="F45" s="142">
        <f>'прил.14'!I252</f>
        <v>2018.4</v>
      </c>
    </row>
    <row r="46" spans="1:6" ht="18.75" customHeight="1">
      <c r="A46" s="45" t="s">
        <v>682</v>
      </c>
      <c r="B46" s="5" t="s">
        <v>811</v>
      </c>
      <c r="C46" s="5" t="s">
        <v>59</v>
      </c>
      <c r="D46" s="142">
        <f>'прил.14'!G256</f>
        <v>16748.8</v>
      </c>
      <c r="E46" s="142">
        <f>'прил.14'!H256</f>
        <v>14171.3</v>
      </c>
      <c r="F46" s="142">
        <f>'прил.14'!I256</f>
        <v>15005.2</v>
      </c>
    </row>
    <row r="47" spans="1:6" ht="16.5">
      <c r="A47" s="45" t="s">
        <v>134</v>
      </c>
      <c r="B47" s="5" t="s">
        <v>529</v>
      </c>
      <c r="C47" s="5"/>
      <c r="D47" s="142">
        <f>SUM(D48:D53)</f>
        <v>2294335.0000000005</v>
      </c>
      <c r="E47" s="142">
        <f>SUM(E48:E53)</f>
        <v>2049791.2000000002</v>
      </c>
      <c r="F47" s="142">
        <f>SUM(F48:F53)</f>
        <v>2092183.2</v>
      </c>
    </row>
    <row r="48" spans="1:6" ht="16.5">
      <c r="A48" s="45" t="s">
        <v>456</v>
      </c>
      <c r="B48" s="5" t="s">
        <v>529</v>
      </c>
      <c r="C48" s="5" t="s">
        <v>807</v>
      </c>
      <c r="D48" s="142">
        <f>'прил.14'!G269</f>
        <v>872919.7000000001</v>
      </c>
      <c r="E48" s="142">
        <f>'прил.14'!H269</f>
        <v>866592.7000000001</v>
      </c>
      <c r="F48" s="142">
        <f>'прил.14'!I269</f>
        <v>883803.5</v>
      </c>
    </row>
    <row r="49" spans="1:6" ht="16.5">
      <c r="A49" s="45" t="s">
        <v>686</v>
      </c>
      <c r="B49" s="5" t="s">
        <v>529</v>
      </c>
      <c r="C49" s="5" t="s">
        <v>808</v>
      </c>
      <c r="D49" s="142">
        <f>'прил.14'!G279</f>
        <v>1200932.1</v>
      </c>
      <c r="E49" s="142">
        <f>'прил.14'!H279</f>
        <v>1096402.5</v>
      </c>
      <c r="F49" s="142">
        <f>'прил.14'!I279</f>
        <v>1109789.6</v>
      </c>
    </row>
    <row r="50" spans="1:6" ht="16.5" hidden="1">
      <c r="A50" s="41" t="s">
        <v>40</v>
      </c>
      <c r="B50" s="5" t="s">
        <v>529</v>
      </c>
      <c r="C50" s="5" t="s">
        <v>809</v>
      </c>
      <c r="D50" s="142">
        <f>'прил.14'!G315</f>
        <v>0</v>
      </c>
      <c r="E50" s="142">
        <f>'прил.14'!H315</f>
        <v>0</v>
      </c>
      <c r="F50" s="142">
        <f>'прил.14'!I315</f>
        <v>0</v>
      </c>
    </row>
    <row r="51" spans="1:6" ht="33" customHeight="1" hidden="1">
      <c r="A51" s="45" t="s">
        <v>573</v>
      </c>
      <c r="B51" s="5" t="s">
        <v>529</v>
      </c>
      <c r="C51" s="5" t="s">
        <v>59</v>
      </c>
      <c r="D51" s="142">
        <f>'прил.14'!G319</f>
        <v>0</v>
      </c>
      <c r="E51" s="142">
        <f>'прил.14'!H319</f>
        <v>0</v>
      </c>
      <c r="F51" s="142">
        <f>'прил.14'!I319</f>
        <v>0</v>
      </c>
    </row>
    <row r="52" spans="1:6" ht="16.5">
      <c r="A52" s="45" t="s">
        <v>250</v>
      </c>
      <c r="B52" s="5" t="s">
        <v>529</v>
      </c>
      <c r="C52" s="5" t="s">
        <v>529</v>
      </c>
      <c r="D52" s="142">
        <f>'прил.14'!G325</f>
        <v>22776.6</v>
      </c>
      <c r="E52" s="142">
        <f>'прил.14'!H325</f>
        <v>13793.800000000001</v>
      </c>
      <c r="F52" s="142">
        <f>'прил.14'!I325</f>
        <v>19626.7</v>
      </c>
    </row>
    <row r="53" spans="1:6" ht="16.5">
      <c r="A53" s="45" t="s">
        <v>698</v>
      </c>
      <c r="B53" s="5" t="s">
        <v>529</v>
      </c>
      <c r="C53" s="5" t="s">
        <v>57</v>
      </c>
      <c r="D53" s="142">
        <f>'прил.14'!G349</f>
        <v>197706.6</v>
      </c>
      <c r="E53" s="142">
        <f>'прил.14'!H349</f>
        <v>73002.2</v>
      </c>
      <c r="F53" s="142">
        <f>'прил.14'!I349</f>
        <v>78963.4</v>
      </c>
    </row>
    <row r="54" spans="1:6" ht="17.25" customHeight="1">
      <c r="A54" s="45" t="s">
        <v>517</v>
      </c>
      <c r="B54" s="5" t="s">
        <v>60</v>
      </c>
      <c r="C54" s="5"/>
      <c r="D54" s="142">
        <f>SUM(D55:D56)</f>
        <v>222955.90000000002</v>
      </c>
      <c r="E54" s="142">
        <f>SUM(E55:E56)</f>
        <v>200345.50000000003</v>
      </c>
      <c r="F54" s="142">
        <f>SUM(F55:F56)</f>
        <v>203659.3</v>
      </c>
    </row>
    <row r="55" spans="1:6" ht="18.75" customHeight="1">
      <c r="A55" s="45" t="s">
        <v>761</v>
      </c>
      <c r="B55" s="5" t="s">
        <v>60</v>
      </c>
      <c r="C55" s="5" t="s">
        <v>807</v>
      </c>
      <c r="D55" s="142">
        <f>'прил.14'!G407</f>
        <v>209583.00000000003</v>
      </c>
      <c r="E55" s="142">
        <f>'прил.14'!H407</f>
        <v>186702.40000000002</v>
      </c>
      <c r="F55" s="142">
        <f>'прил.14'!I407</f>
        <v>189904.9</v>
      </c>
    </row>
    <row r="56" spans="1:23" s="25" customFormat="1" ht="17.25" customHeight="1">
      <c r="A56" s="45" t="s">
        <v>714</v>
      </c>
      <c r="B56" s="5" t="s">
        <v>60</v>
      </c>
      <c r="C56" s="5" t="s">
        <v>810</v>
      </c>
      <c r="D56" s="142">
        <f>'прил.14'!G442</f>
        <v>13372.9</v>
      </c>
      <c r="E56" s="142">
        <f>'прил.14'!H442</f>
        <v>13643.100000000002</v>
      </c>
      <c r="F56" s="142">
        <f>'прил.14'!I442</f>
        <v>13754.400000000001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26" customFormat="1" ht="16.5">
      <c r="A57" s="45" t="s">
        <v>509</v>
      </c>
      <c r="B57" s="5" t="s">
        <v>57</v>
      </c>
      <c r="C57" s="5"/>
      <c r="D57" s="142">
        <f>SUM(D58:D63)</f>
        <v>381714.4</v>
      </c>
      <c r="E57" s="142">
        <f>SUM(E58:E63)</f>
        <v>294968.7</v>
      </c>
      <c r="F57" s="142">
        <f>SUM(F58:F63)</f>
        <v>283669.2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8.75" customHeight="1">
      <c r="A58" s="45" t="s">
        <v>570</v>
      </c>
      <c r="B58" s="5" t="s">
        <v>57</v>
      </c>
      <c r="C58" s="5" t="s">
        <v>807</v>
      </c>
      <c r="D58" s="142">
        <f>'прил.14'!G470</f>
        <v>166789.90000000002</v>
      </c>
      <c r="E58" s="142">
        <f>'прил.14'!H470</f>
        <v>81762.2</v>
      </c>
      <c r="F58" s="142">
        <f>'прил.14'!I470</f>
        <v>87590.7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21.75" customHeight="1">
      <c r="A59" s="45" t="s">
        <v>717</v>
      </c>
      <c r="B59" s="5" t="s">
        <v>57</v>
      </c>
      <c r="C59" s="5" t="s">
        <v>808</v>
      </c>
      <c r="D59" s="142">
        <f>'прил.14'!G484</f>
        <v>46616.6</v>
      </c>
      <c r="E59" s="142">
        <f>'прил.14'!H484</f>
        <v>43987.1</v>
      </c>
      <c r="F59" s="142">
        <f>'прил.14'!I484</f>
        <v>46743.7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23" customFormat="1" ht="19.5" customHeight="1">
      <c r="A60" s="45" t="s">
        <v>719</v>
      </c>
      <c r="B60" s="43" t="s">
        <v>57</v>
      </c>
      <c r="C60" s="43" t="s">
        <v>809</v>
      </c>
      <c r="D60" s="143">
        <f>'прил.14'!G498</f>
        <v>2882.1</v>
      </c>
      <c r="E60" s="143">
        <f>'прил.14'!H498</f>
        <v>3100.9</v>
      </c>
      <c r="F60" s="143">
        <f>'прил.14'!I498</f>
        <v>3341.2999999999997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s="31" customFormat="1" ht="21.75" customHeight="1">
      <c r="A61" s="20" t="s">
        <v>720</v>
      </c>
      <c r="B61" s="43" t="s">
        <v>57</v>
      </c>
      <c r="C61" s="43" t="s">
        <v>810</v>
      </c>
      <c r="D61" s="143">
        <f>'прил.14'!G509</f>
        <v>126600.90000000001</v>
      </c>
      <c r="E61" s="143">
        <f>'прил.14'!H509</f>
        <v>123445.3</v>
      </c>
      <c r="F61" s="143">
        <f>'прил.14'!I509</f>
        <v>105263.1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26" customFormat="1" ht="21" customHeight="1">
      <c r="A62" s="20" t="s">
        <v>724</v>
      </c>
      <c r="B62" s="5" t="s">
        <v>57</v>
      </c>
      <c r="C62" s="5" t="s">
        <v>59</v>
      </c>
      <c r="D62" s="142">
        <f>'прил.14'!G518</f>
        <v>7488.099999999999</v>
      </c>
      <c r="E62" s="142">
        <f>'прил.14'!H518</f>
        <v>7526.7</v>
      </c>
      <c r="F62" s="142">
        <f>'прил.14'!I518</f>
        <v>7697.7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6" s="13" customFormat="1" ht="18" customHeight="1">
      <c r="A63" s="20" t="s">
        <v>726</v>
      </c>
      <c r="B63" s="5" t="s">
        <v>57</v>
      </c>
      <c r="C63" s="5" t="s">
        <v>57</v>
      </c>
      <c r="D63" s="142">
        <f>'прил.14'!G524</f>
        <v>31336.800000000003</v>
      </c>
      <c r="E63" s="142">
        <f>'прил.14'!H524</f>
        <v>35146.5</v>
      </c>
      <c r="F63" s="142">
        <f>'прил.14'!I524</f>
        <v>33032.7</v>
      </c>
    </row>
    <row r="64" spans="1:6" ht="16.5">
      <c r="A64" s="45" t="s">
        <v>491</v>
      </c>
      <c r="B64" s="5" t="s">
        <v>492</v>
      </c>
      <c r="C64" s="5"/>
      <c r="D64" s="142">
        <f>SUM(D65:D69)</f>
        <v>994874.9</v>
      </c>
      <c r="E64" s="142">
        <f>SUM(E65:E69)</f>
        <v>868260.5</v>
      </c>
      <c r="F64" s="142">
        <f>SUM(F65:F69)</f>
        <v>882787.7000000001</v>
      </c>
    </row>
    <row r="65" spans="1:6" ht="16.5">
      <c r="A65" s="45" t="s">
        <v>762</v>
      </c>
      <c r="B65" s="5" t="s">
        <v>492</v>
      </c>
      <c r="C65" s="5" t="s">
        <v>807</v>
      </c>
      <c r="D65" s="142">
        <f>'прил.14'!G561</f>
        <v>6423.6</v>
      </c>
      <c r="E65" s="142">
        <f>'прил.14'!H561</f>
        <v>6500</v>
      </c>
      <c r="F65" s="142">
        <f>'прил.14'!I561</f>
        <v>6500</v>
      </c>
    </row>
    <row r="66" spans="1:6" ht="16.5" hidden="1">
      <c r="A66" s="45" t="s">
        <v>185</v>
      </c>
      <c r="B66" s="5" t="s">
        <v>492</v>
      </c>
      <c r="C66" s="5" t="s">
        <v>808</v>
      </c>
      <c r="D66" s="142">
        <f>'прил.14'!G565</f>
        <v>0</v>
      </c>
      <c r="E66" s="142">
        <f>'прил.14'!H565</f>
        <v>0</v>
      </c>
      <c r="F66" s="142">
        <f>'прил.14'!I565</f>
        <v>0</v>
      </c>
    </row>
    <row r="67" spans="1:6" ht="16.5">
      <c r="A67" s="45" t="s">
        <v>387</v>
      </c>
      <c r="B67" s="5" t="s">
        <v>492</v>
      </c>
      <c r="C67" s="5" t="s">
        <v>809</v>
      </c>
      <c r="D67" s="142">
        <f>'прил.14'!G572</f>
        <v>879536.1</v>
      </c>
      <c r="E67" s="142">
        <f>'прил.14'!H572</f>
        <v>762071.7</v>
      </c>
      <c r="F67" s="142">
        <f>'прил.14'!I572</f>
        <v>775738.5</v>
      </c>
    </row>
    <row r="68" spans="1:6" ht="16.5">
      <c r="A68" s="41" t="s">
        <v>763</v>
      </c>
      <c r="B68" s="5" t="s">
        <v>492</v>
      </c>
      <c r="C68" s="5" t="s">
        <v>810</v>
      </c>
      <c r="D68" s="142">
        <f>'прил.14'!G611</f>
        <v>79701.9</v>
      </c>
      <c r="E68" s="142">
        <f>'прил.14'!H611</f>
        <v>75716.8</v>
      </c>
      <c r="F68" s="142">
        <f>'прил.14'!I611</f>
        <v>75716.8</v>
      </c>
    </row>
    <row r="69" spans="1:6" ht="18" customHeight="1">
      <c r="A69" s="45" t="s">
        <v>742</v>
      </c>
      <c r="B69" s="5" t="s">
        <v>492</v>
      </c>
      <c r="C69" s="5" t="s">
        <v>811</v>
      </c>
      <c r="D69" s="142">
        <f>'прил.14'!G617</f>
        <v>29213.3</v>
      </c>
      <c r="E69" s="142">
        <f>'прил.14'!H617</f>
        <v>23971.999999999996</v>
      </c>
      <c r="F69" s="142">
        <f>'прил.14'!I617</f>
        <v>24832.399999999998</v>
      </c>
    </row>
    <row r="70" spans="1:6" ht="18" customHeight="1">
      <c r="A70" s="45" t="s">
        <v>511</v>
      </c>
      <c r="B70" s="5" t="s">
        <v>62</v>
      </c>
      <c r="C70" s="5"/>
      <c r="D70" s="142">
        <f>SUM(D71:D74)</f>
        <v>286181.5</v>
      </c>
      <c r="E70" s="142">
        <f>SUM(E71:E74)</f>
        <v>277429.8</v>
      </c>
      <c r="F70" s="142">
        <f>SUM(F71:F74)</f>
        <v>283773</v>
      </c>
    </row>
    <row r="71" spans="1:6" ht="18" customHeight="1">
      <c r="A71" s="45" t="s">
        <v>745</v>
      </c>
      <c r="B71" s="5" t="s">
        <v>62</v>
      </c>
      <c r="C71" s="5" t="s">
        <v>807</v>
      </c>
      <c r="D71" s="142">
        <f>'прил.14'!G644</f>
        <v>178616.2</v>
      </c>
      <c r="E71" s="142">
        <f>'прил.14'!H644</f>
        <v>171434.1</v>
      </c>
      <c r="F71" s="142">
        <f>'прил.14'!I644</f>
        <v>177769.5</v>
      </c>
    </row>
    <row r="72" spans="1:6" ht="18" customHeight="1" hidden="1">
      <c r="A72" s="45" t="s">
        <v>751</v>
      </c>
      <c r="B72" s="5" t="s">
        <v>62</v>
      </c>
      <c r="C72" s="5" t="s">
        <v>808</v>
      </c>
      <c r="D72" s="142">
        <f>'прил.14'!G654</f>
        <v>820</v>
      </c>
      <c r="E72" s="142">
        <f>'прил.14'!H654</f>
        <v>0</v>
      </c>
      <c r="F72" s="142">
        <f>'прил.14'!I654</f>
        <v>0</v>
      </c>
    </row>
    <row r="73" spans="1:6" ht="18" customHeight="1">
      <c r="A73" s="20" t="s">
        <v>752</v>
      </c>
      <c r="B73" s="5" t="s">
        <v>62</v>
      </c>
      <c r="C73" s="5" t="s">
        <v>809</v>
      </c>
      <c r="D73" s="142">
        <f>'прил.14'!G657</f>
        <v>100000</v>
      </c>
      <c r="E73" s="142">
        <f>'прил.14'!H657</f>
        <v>100000</v>
      </c>
      <c r="F73" s="142">
        <f>'прил.14'!I657</f>
        <v>100000</v>
      </c>
    </row>
    <row r="74" spans="1:6" ht="18" customHeight="1">
      <c r="A74" s="45" t="s">
        <v>756</v>
      </c>
      <c r="B74" s="5" t="s">
        <v>62</v>
      </c>
      <c r="C74" s="5" t="s">
        <v>59</v>
      </c>
      <c r="D74" s="142">
        <f>'прил.14'!G662</f>
        <v>6745.3</v>
      </c>
      <c r="E74" s="142">
        <f>'прил.14'!H662</f>
        <v>5995.700000000001</v>
      </c>
      <c r="F74" s="142">
        <f>'прил.14'!I662</f>
        <v>6003.5</v>
      </c>
    </row>
    <row r="75" spans="1:6" ht="18" customHeight="1">
      <c r="A75" s="45" t="s">
        <v>514</v>
      </c>
      <c r="B75" s="5" t="s">
        <v>530</v>
      </c>
      <c r="C75" s="5"/>
      <c r="D75" s="142">
        <f>SUM(D76:D76)</f>
        <v>32768.4</v>
      </c>
      <c r="E75" s="142">
        <f>SUM(E76:E76)</f>
        <v>30141.7</v>
      </c>
      <c r="F75" s="142">
        <f>SUM(F76:F76)</f>
        <v>30286</v>
      </c>
    </row>
    <row r="76" spans="1:6" ht="18" customHeight="1">
      <c r="A76" s="45" t="s">
        <v>757</v>
      </c>
      <c r="B76" s="5" t="s">
        <v>530</v>
      </c>
      <c r="C76" s="5" t="s">
        <v>808</v>
      </c>
      <c r="D76" s="142">
        <f>'прил.14'!G673</f>
        <v>32768.4</v>
      </c>
      <c r="E76" s="142">
        <f>'прил.14'!H673</f>
        <v>30141.7</v>
      </c>
      <c r="F76" s="142">
        <f>'прил.14'!I673</f>
        <v>30286</v>
      </c>
    </row>
    <row r="77" spans="1:6" ht="36" customHeight="1">
      <c r="A77" s="45" t="s">
        <v>515</v>
      </c>
      <c r="B77" s="5" t="s">
        <v>508</v>
      </c>
      <c r="C77" s="5"/>
      <c r="D77" s="142">
        <f>SUM(D78)</f>
        <v>26875</v>
      </c>
      <c r="E77" s="142">
        <f>SUM(E78)</f>
        <v>17690</v>
      </c>
      <c r="F77" s="142">
        <f>SUM(F78)</f>
        <v>7893</v>
      </c>
    </row>
    <row r="78" spans="1:6" ht="18.75" customHeight="1">
      <c r="A78" s="45" t="s">
        <v>764</v>
      </c>
      <c r="B78" s="5" t="s">
        <v>508</v>
      </c>
      <c r="C78" s="5" t="s">
        <v>807</v>
      </c>
      <c r="D78" s="142">
        <f>'прил.14'!G680</f>
        <v>26875</v>
      </c>
      <c r="E78" s="142">
        <f>'прил.14'!H680</f>
        <v>17690</v>
      </c>
      <c r="F78" s="142">
        <f>'прил.14'!I680</f>
        <v>7893</v>
      </c>
    </row>
    <row r="79" spans="1:6" s="22" customFormat="1" ht="16.5">
      <c r="A79" s="19" t="s">
        <v>320</v>
      </c>
      <c r="B79" s="21"/>
      <c r="C79" s="21"/>
      <c r="D79" s="18">
        <f>D22+D31+D35+D39+D44+D47+D54+D57+D64+D70+D75+D77</f>
        <v>5997705.400000002</v>
      </c>
      <c r="E79" s="18">
        <f>E22+E31+E35+E39+E44+E47+E54+E57+E64+E70+E75+E77</f>
        <v>5170957.8</v>
      </c>
      <c r="F79" s="18">
        <f>F22+F31+F35+F39+F44+F47+F54+F57+F64+F70+F75+F77</f>
        <v>4832155.399999999</v>
      </c>
    </row>
    <row r="80" spans="1:6" s="22" customFormat="1" ht="16.5">
      <c r="A80" s="19" t="s">
        <v>23</v>
      </c>
      <c r="B80" s="21"/>
      <c r="C80" s="21"/>
      <c r="D80" s="18"/>
      <c r="E80" s="18">
        <f>'прил.14'!H684</f>
        <v>1118472</v>
      </c>
      <c r="F80" s="18">
        <f>'прил.14'!I684</f>
        <v>1133667.0000000002</v>
      </c>
    </row>
    <row r="81" spans="1:6" s="22" customFormat="1" ht="16.5">
      <c r="A81" s="19" t="s">
        <v>24</v>
      </c>
      <c r="B81" s="21"/>
      <c r="C81" s="21"/>
      <c r="D81" s="18"/>
      <c r="E81" s="18">
        <f>E79+E80</f>
        <v>6289429.8</v>
      </c>
      <c r="F81" s="18">
        <f>F79+F80</f>
        <v>5965822.399999999</v>
      </c>
    </row>
    <row r="83" spans="4:6" ht="12.75">
      <c r="D83" s="7">
        <f>D79-'прил.14'!G683</f>
        <v>0</v>
      </c>
      <c r="E83" s="7">
        <f>E79-'прил.14'!H683</f>
        <v>0</v>
      </c>
      <c r="F83" s="7">
        <f>F79-'прил.14'!I683</f>
        <v>0</v>
      </c>
    </row>
  </sheetData>
  <mergeCells count="8">
    <mergeCell ref="A13:F13"/>
    <mergeCell ref="E19:F19"/>
    <mergeCell ref="A15:F15"/>
    <mergeCell ref="A14:F14"/>
    <mergeCell ref="A19:A20"/>
    <mergeCell ref="B19:B20"/>
    <mergeCell ref="C19:C20"/>
    <mergeCell ref="D19:D20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0" r:id="rId1"/>
  <headerFooter alignWithMargins="0">
    <oddHeader>&amp;C&amp;P</oddHeader>
  </headerFooter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1"/>
  <sheetViews>
    <sheetView showZeros="0" view="pageBreakPreview" zoomScale="85" zoomScaleNormal="75" zoomScaleSheetLayoutView="85" workbookViewId="0" topLeftCell="A572">
      <selection activeCell="A584" sqref="A584"/>
    </sheetView>
  </sheetViews>
  <sheetFormatPr defaultColWidth="8.875" defaultRowHeight="12.75"/>
  <cols>
    <col min="1" max="1" width="93.75390625" style="0" customWidth="1"/>
    <col min="2" max="2" width="5.25390625" style="0" hidden="1" customWidth="1"/>
    <col min="5" max="5" width="14.125" style="0" customWidth="1"/>
    <col min="6" max="6" width="12.625" style="0" customWidth="1"/>
    <col min="7" max="7" width="15.25390625" style="0" hidden="1" customWidth="1"/>
    <col min="8" max="8" width="16.75390625" style="0" customWidth="1"/>
    <col min="9" max="9" width="16.00390625" style="0" customWidth="1"/>
  </cols>
  <sheetData>
    <row r="1" spans="8:23" ht="16.5">
      <c r="H1" s="1" t="s">
        <v>634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8:23" ht="16.5">
      <c r="H2" s="1" t="s">
        <v>167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8:23" ht="16.5">
      <c r="H3" s="1" t="s">
        <v>166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8:23" ht="16.5">
      <c r="H4" s="1" t="s">
        <v>577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9:23" ht="18" customHeight="1"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6.5">
      <c r="A6" s="16"/>
      <c r="B6" s="16"/>
      <c r="C6" s="16"/>
      <c r="D6" s="16"/>
      <c r="E6" s="16"/>
      <c r="F6" s="1"/>
      <c r="G6" s="1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 customHeight="1">
      <c r="A7" s="157" t="s">
        <v>635</v>
      </c>
      <c r="B7" s="158"/>
      <c r="C7" s="158"/>
      <c r="D7" s="158"/>
      <c r="E7" s="158"/>
      <c r="F7" s="158"/>
      <c r="G7" s="158"/>
      <c r="H7" s="158"/>
      <c r="I7" s="15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8" customHeight="1">
      <c r="A8" s="147" t="s">
        <v>637</v>
      </c>
      <c r="B8" s="148"/>
      <c r="C8" s="148"/>
      <c r="D8" s="148"/>
      <c r="E8" s="148"/>
      <c r="F8" s="148"/>
      <c r="G8" s="148"/>
      <c r="H8" s="148"/>
      <c r="I8" s="14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7.25" customHeight="1">
      <c r="A9" s="147" t="s">
        <v>638</v>
      </c>
      <c r="B9" s="148"/>
      <c r="C9" s="148"/>
      <c r="D9" s="148"/>
      <c r="E9" s="148"/>
      <c r="F9" s="148"/>
      <c r="G9" s="148"/>
      <c r="H9" s="148"/>
      <c r="I9" s="14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9.5" customHeight="1" hidden="1">
      <c r="A10" s="12"/>
      <c r="B10" s="12"/>
      <c r="C10" s="12"/>
      <c r="D10" s="12"/>
      <c r="E10" s="12"/>
      <c r="F10" s="12"/>
      <c r="G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6.5" hidden="1">
      <c r="A11" s="15"/>
      <c r="B11" s="15"/>
      <c r="C11" s="15"/>
      <c r="D11" s="15"/>
      <c r="E11" s="15"/>
      <c r="F11" s="15"/>
      <c r="G11" s="1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5" customHeight="1">
      <c r="A12" s="15"/>
      <c r="B12" s="15"/>
      <c r="C12" s="15"/>
      <c r="D12" s="15"/>
      <c r="E12" s="15"/>
      <c r="F12" s="15"/>
      <c r="G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6.5" customHeight="1">
      <c r="A13" s="12" t="s">
        <v>802</v>
      </c>
      <c r="B13" s="12"/>
      <c r="C13" s="12"/>
      <c r="D13" s="12"/>
      <c r="E13" s="12"/>
      <c r="F13" s="12"/>
      <c r="G13" s="37" t="s">
        <v>507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24" customFormat="1" ht="21.75" customHeight="1">
      <c r="A14" s="159" t="s">
        <v>803</v>
      </c>
      <c r="B14" s="14"/>
      <c r="C14" s="159" t="s">
        <v>804</v>
      </c>
      <c r="D14" s="159" t="s">
        <v>65</v>
      </c>
      <c r="E14" s="159" t="s">
        <v>66</v>
      </c>
      <c r="F14" s="159" t="s">
        <v>67</v>
      </c>
      <c r="G14" s="32" t="s">
        <v>259</v>
      </c>
      <c r="H14" s="149" t="s">
        <v>627</v>
      </c>
      <c r="I14" s="150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s="24" customFormat="1" ht="24.75" customHeight="1">
      <c r="A15" s="160"/>
      <c r="B15" s="14"/>
      <c r="C15" s="160"/>
      <c r="D15" s="160"/>
      <c r="E15" s="160"/>
      <c r="F15" s="160"/>
      <c r="G15" s="32"/>
      <c r="H15" s="144" t="s">
        <v>260</v>
      </c>
      <c r="I15" s="145" t="s">
        <v>261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16.5">
      <c r="A16" s="45" t="s">
        <v>806</v>
      </c>
      <c r="B16" s="35"/>
      <c r="C16" s="5" t="s">
        <v>807</v>
      </c>
      <c r="D16" s="5"/>
      <c r="E16" s="5"/>
      <c r="F16" s="5"/>
      <c r="G16" s="6">
        <f>G17+G21+G29+G40+G43+G50+G54+G58</f>
        <v>302014.3</v>
      </c>
      <c r="H16" s="6">
        <f>H17+H21+H29+H40+H43+H50+H54+H58</f>
        <v>273895.1</v>
      </c>
      <c r="I16" s="6">
        <f>I17+I21+I29+I40+I43+I50+I54+I58</f>
        <v>276979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35.25" customHeight="1">
      <c r="A17" s="38" t="s">
        <v>37</v>
      </c>
      <c r="B17" s="129"/>
      <c r="C17" s="5" t="s">
        <v>807</v>
      </c>
      <c r="D17" s="5" t="s">
        <v>808</v>
      </c>
      <c r="E17" s="5"/>
      <c r="F17" s="5"/>
      <c r="G17" s="6">
        <f>G18</f>
        <v>2114.3</v>
      </c>
      <c r="H17" s="6">
        <f aca="true" t="shared" si="0" ref="H17:I19">H18</f>
        <v>2114.3</v>
      </c>
      <c r="I17" s="6">
        <f t="shared" si="0"/>
        <v>2114.3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37.5" customHeight="1">
      <c r="A18" s="41" t="s">
        <v>42</v>
      </c>
      <c r="B18" s="130"/>
      <c r="C18" s="5" t="s">
        <v>807</v>
      </c>
      <c r="D18" s="5" t="s">
        <v>808</v>
      </c>
      <c r="E18" s="5" t="s">
        <v>43</v>
      </c>
      <c r="F18" s="5"/>
      <c r="G18" s="6">
        <f>G19</f>
        <v>2114.3</v>
      </c>
      <c r="H18" s="6">
        <f t="shared" si="0"/>
        <v>2114.3</v>
      </c>
      <c r="I18" s="6">
        <f t="shared" si="0"/>
        <v>2114.3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6.5">
      <c r="A19" s="41" t="s">
        <v>623</v>
      </c>
      <c r="B19" s="131"/>
      <c r="C19" s="5" t="s">
        <v>807</v>
      </c>
      <c r="D19" s="5" t="s">
        <v>808</v>
      </c>
      <c r="E19" s="5" t="s">
        <v>44</v>
      </c>
      <c r="F19" s="5"/>
      <c r="G19" s="6">
        <f>G20</f>
        <v>2114.3</v>
      </c>
      <c r="H19" s="6">
        <f t="shared" si="0"/>
        <v>2114.3</v>
      </c>
      <c r="I19" s="6">
        <f t="shared" si="0"/>
        <v>2114.3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6.5">
      <c r="A20" s="41" t="s">
        <v>361</v>
      </c>
      <c r="B20" s="41"/>
      <c r="C20" s="5" t="s">
        <v>807</v>
      </c>
      <c r="D20" s="5" t="s">
        <v>808</v>
      </c>
      <c r="E20" s="5" t="s">
        <v>44</v>
      </c>
      <c r="F20" s="5" t="s">
        <v>214</v>
      </c>
      <c r="G20" s="6">
        <f>'прил.16'!G21</f>
        <v>2114.3</v>
      </c>
      <c r="H20" s="6">
        <f>'прил.16'!H21</f>
        <v>2114.3</v>
      </c>
      <c r="I20" s="6">
        <f>'прил.16'!I21</f>
        <v>2114.3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36.75" customHeight="1">
      <c r="A21" s="45" t="s">
        <v>624</v>
      </c>
      <c r="B21" s="45"/>
      <c r="C21" s="52" t="s">
        <v>807</v>
      </c>
      <c r="D21" s="52" t="s">
        <v>809</v>
      </c>
      <c r="E21" s="52"/>
      <c r="F21" s="5"/>
      <c r="G21" s="6">
        <f>G22</f>
        <v>18178.5</v>
      </c>
      <c r="H21" s="6">
        <f>H22</f>
        <v>17403</v>
      </c>
      <c r="I21" s="6">
        <f>I22</f>
        <v>17446.5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35.25" customHeight="1">
      <c r="A22" s="41" t="s">
        <v>42</v>
      </c>
      <c r="B22" s="130"/>
      <c r="C22" s="5" t="s">
        <v>807</v>
      </c>
      <c r="D22" s="5" t="s">
        <v>809</v>
      </c>
      <c r="E22" s="5" t="s">
        <v>43</v>
      </c>
      <c r="F22" s="5"/>
      <c r="G22" s="6">
        <f>G23+G25+G27</f>
        <v>18178.5</v>
      </c>
      <c r="H22" s="6">
        <f>H23+H25+H27</f>
        <v>17403</v>
      </c>
      <c r="I22" s="6">
        <f>I23+I25+I27</f>
        <v>17446.5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8" customHeight="1">
      <c r="A23" s="41" t="s">
        <v>589</v>
      </c>
      <c r="B23" s="131"/>
      <c r="C23" s="5" t="s">
        <v>807</v>
      </c>
      <c r="D23" s="5" t="s">
        <v>809</v>
      </c>
      <c r="E23" s="5" t="s">
        <v>45</v>
      </c>
      <c r="F23" s="5"/>
      <c r="G23" s="6">
        <f>G24</f>
        <v>13569.1</v>
      </c>
      <c r="H23" s="6">
        <f>H24</f>
        <v>12793.6</v>
      </c>
      <c r="I23" s="6">
        <f>I24</f>
        <v>12837.1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6.5">
      <c r="A24" s="41" t="s">
        <v>361</v>
      </c>
      <c r="B24" s="41"/>
      <c r="C24" s="5" t="s">
        <v>807</v>
      </c>
      <c r="D24" s="5" t="s">
        <v>809</v>
      </c>
      <c r="E24" s="5" t="s">
        <v>45</v>
      </c>
      <c r="F24" s="5" t="s">
        <v>214</v>
      </c>
      <c r="G24" s="6">
        <f>'прил.16'!G158</f>
        <v>13569.1</v>
      </c>
      <c r="H24" s="6">
        <f>'прил.16'!H158</f>
        <v>12793.6</v>
      </c>
      <c r="I24" s="6">
        <f>'прил.16'!I158</f>
        <v>12837.1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8" customHeight="1">
      <c r="A25" s="41" t="s">
        <v>315</v>
      </c>
      <c r="B25" s="41"/>
      <c r="C25" s="5" t="s">
        <v>807</v>
      </c>
      <c r="D25" s="5" t="s">
        <v>809</v>
      </c>
      <c r="E25" s="5" t="s">
        <v>398</v>
      </c>
      <c r="F25" s="5"/>
      <c r="G25" s="6">
        <f>G26</f>
        <v>1725</v>
      </c>
      <c r="H25" s="6">
        <f>H26</f>
        <v>1725</v>
      </c>
      <c r="I25" s="6">
        <f>I26</f>
        <v>1725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41" t="s">
        <v>361</v>
      </c>
      <c r="B26" s="41"/>
      <c r="C26" s="52" t="s">
        <v>807</v>
      </c>
      <c r="D26" s="52" t="s">
        <v>809</v>
      </c>
      <c r="E26" s="5" t="s">
        <v>398</v>
      </c>
      <c r="F26" s="5" t="s">
        <v>214</v>
      </c>
      <c r="G26" s="6">
        <f>'прил.16'!G160</f>
        <v>1725</v>
      </c>
      <c r="H26" s="6">
        <f>'прил.16'!H160</f>
        <v>1725</v>
      </c>
      <c r="I26" s="6">
        <f>'прил.16'!I160</f>
        <v>1725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8.75" customHeight="1">
      <c r="A27" s="41" t="s">
        <v>316</v>
      </c>
      <c r="B27" s="41"/>
      <c r="C27" s="52" t="s">
        <v>807</v>
      </c>
      <c r="D27" s="52" t="s">
        <v>809</v>
      </c>
      <c r="E27" s="5" t="s">
        <v>399</v>
      </c>
      <c r="F27" s="5"/>
      <c r="G27" s="6">
        <f>G28</f>
        <v>2884.4</v>
      </c>
      <c r="H27" s="6">
        <f>H28</f>
        <v>2884.4</v>
      </c>
      <c r="I27" s="6">
        <f>I28</f>
        <v>2884.4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6.5" customHeight="1">
      <c r="A28" s="41" t="s">
        <v>361</v>
      </c>
      <c r="B28" s="41"/>
      <c r="C28" s="52" t="s">
        <v>807</v>
      </c>
      <c r="D28" s="52" t="s">
        <v>809</v>
      </c>
      <c r="E28" s="5" t="s">
        <v>399</v>
      </c>
      <c r="F28" s="5" t="s">
        <v>214</v>
      </c>
      <c r="G28" s="6">
        <f>'прил.16'!G162</f>
        <v>2884.4</v>
      </c>
      <c r="H28" s="6">
        <f>'прил.16'!H162</f>
        <v>2884.4</v>
      </c>
      <c r="I28" s="6">
        <f>'прил.16'!I162</f>
        <v>2884.4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49.5">
      <c r="A29" s="41" t="s">
        <v>46</v>
      </c>
      <c r="B29" s="130"/>
      <c r="C29" s="5" t="s">
        <v>807</v>
      </c>
      <c r="D29" s="5" t="s">
        <v>810</v>
      </c>
      <c r="E29" s="5"/>
      <c r="F29" s="5"/>
      <c r="G29" s="6">
        <f>G30+G33</f>
        <v>93195.7</v>
      </c>
      <c r="H29" s="6">
        <f>H30+H33</f>
        <v>90310</v>
      </c>
      <c r="I29" s="6">
        <f>I30+I33</f>
        <v>90561.70000000001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35.25" customHeight="1">
      <c r="A30" s="41" t="s">
        <v>42</v>
      </c>
      <c r="B30" s="130"/>
      <c r="C30" s="5" t="s">
        <v>807</v>
      </c>
      <c r="D30" s="5" t="s">
        <v>810</v>
      </c>
      <c r="E30" s="5" t="s">
        <v>43</v>
      </c>
      <c r="F30" s="5"/>
      <c r="G30" s="6">
        <f aca="true" t="shared" si="1" ref="G30:I31">G31</f>
        <v>91568.5</v>
      </c>
      <c r="H30" s="6">
        <f t="shared" si="1"/>
        <v>88764.7</v>
      </c>
      <c r="I30" s="6">
        <f t="shared" si="1"/>
        <v>89016.40000000001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6.5">
      <c r="A31" s="41" t="s">
        <v>589</v>
      </c>
      <c r="B31" s="131"/>
      <c r="C31" s="5" t="s">
        <v>807</v>
      </c>
      <c r="D31" s="5" t="s">
        <v>810</v>
      </c>
      <c r="E31" s="5" t="s">
        <v>45</v>
      </c>
      <c r="F31" s="5"/>
      <c r="G31" s="6">
        <f t="shared" si="1"/>
        <v>91568.5</v>
      </c>
      <c r="H31" s="6">
        <f t="shared" si="1"/>
        <v>88764.7</v>
      </c>
      <c r="I31" s="6">
        <f t="shared" si="1"/>
        <v>89016.40000000001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6.5" customHeight="1">
      <c r="A32" s="41" t="s">
        <v>361</v>
      </c>
      <c r="B32" s="41"/>
      <c r="C32" s="5" t="s">
        <v>807</v>
      </c>
      <c r="D32" s="5" t="s">
        <v>810</v>
      </c>
      <c r="E32" s="5" t="s">
        <v>45</v>
      </c>
      <c r="F32" s="5" t="s">
        <v>214</v>
      </c>
      <c r="G32" s="6">
        <f>'прил.16'!G25</f>
        <v>91568.5</v>
      </c>
      <c r="H32" s="6">
        <f>'прил.16'!H25</f>
        <v>88764.7</v>
      </c>
      <c r="I32" s="6">
        <f>'прил.16'!I25</f>
        <v>89016.40000000001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6.5" customHeight="1">
      <c r="A33" s="82" t="s">
        <v>653</v>
      </c>
      <c r="B33" s="41"/>
      <c r="C33" s="52" t="s">
        <v>807</v>
      </c>
      <c r="D33" s="52" t="s">
        <v>810</v>
      </c>
      <c r="E33" s="52" t="s">
        <v>30</v>
      </c>
      <c r="F33" s="52"/>
      <c r="G33" s="6">
        <f>G34+G36+G38</f>
        <v>1627.2</v>
      </c>
      <c r="H33" s="6">
        <f>H34+H36+H38</f>
        <v>1545.3</v>
      </c>
      <c r="I33" s="6">
        <f>I34+I36+I38</f>
        <v>1545.3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37.5" customHeight="1">
      <c r="A34" s="82" t="s">
        <v>654</v>
      </c>
      <c r="B34" s="41"/>
      <c r="C34" s="52" t="s">
        <v>807</v>
      </c>
      <c r="D34" s="52" t="s">
        <v>810</v>
      </c>
      <c r="E34" s="52" t="s">
        <v>349</v>
      </c>
      <c r="F34" s="52"/>
      <c r="G34" s="6">
        <f>G35</f>
        <v>1073.8</v>
      </c>
      <c r="H34" s="6">
        <f>H35</f>
        <v>1020.1</v>
      </c>
      <c r="I34" s="6">
        <f>I35</f>
        <v>1020.1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6.5" customHeight="1">
      <c r="A35" s="81" t="s">
        <v>377</v>
      </c>
      <c r="B35" s="41"/>
      <c r="C35" s="52" t="s">
        <v>807</v>
      </c>
      <c r="D35" s="52" t="s">
        <v>810</v>
      </c>
      <c r="E35" s="52" t="s">
        <v>349</v>
      </c>
      <c r="F35" s="52" t="s">
        <v>212</v>
      </c>
      <c r="G35" s="6">
        <f>'прил.16'!G28</f>
        <v>1073.8</v>
      </c>
      <c r="H35" s="6">
        <f>'прил.16'!H28</f>
        <v>1020.1</v>
      </c>
      <c r="I35" s="6">
        <f>'прил.16'!I28</f>
        <v>1020.1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40.5" customHeight="1">
      <c r="A36" s="81" t="s">
        <v>655</v>
      </c>
      <c r="B36" s="41"/>
      <c r="C36" s="52" t="s">
        <v>807</v>
      </c>
      <c r="D36" s="52" t="s">
        <v>810</v>
      </c>
      <c r="E36" s="52" t="s">
        <v>350</v>
      </c>
      <c r="F36" s="52"/>
      <c r="G36" s="6">
        <f>G37</f>
        <v>552.7</v>
      </c>
      <c r="H36" s="6">
        <f>H37</f>
        <v>524.5</v>
      </c>
      <c r="I36" s="6">
        <f>I37</f>
        <v>524.5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1" customHeight="1">
      <c r="A37" s="81" t="s">
        <v>377</v>
      </c>
      <c r="B37" s="41"/>
      <c r="C37" s="52" t="s">
        <v>807</v>
      </c>
      <c r="D37" s="52" t="s">
        <v>810</v>
      </c>
      <c r="E37" s="52" t="s">
        <v>350</v>
      </c>
      <c r="F37" s="52" t="s">
        <v>212</v>
      </c>
      <c r="G37" s="6">
        <f>'прил.16'!G30</f>
        <v>552.7</v>
      </c>
      <c r="H37" s="6">
        <f>'прил.16'!H30</f>
        <v>524.5</v>
      </c>
      <c r="I37" s="6">
        <f>'прил.16'!I30</f>
        <v>524.5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71.25" customHeight="1">
      <c r="A38" s="81" t="s">
        <v>656</v>
      </c>
      <c r="B38" s="41"/>
      <c r="C38" s="52" t="s">
        <v>807</v>
      </c>
      <c r="D38" s="52" t="s">
        <v>810</v>
      </c>
      <c r="E38" s="52" t="s">
        <v>351</v>
      </c>
      <c r="F38" s="52"/>
      <c r="G38" s="6">
        <f>G39</f>
        <v>0.7</v>
      </c>
      <c r="H38" s="6">
        <f>H39</f>
        <v>0.7</v>
      </c>
      <c r="I38" s="6">
        <f>I39</f>
        <v>0.7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6.5" customHeight="1">
      <c r="A39" s="81" t="s">
        <v>377</v>
      </c>
      <c r="B39" s="41"/>
      <c r="C39" s="52" t="s">
        <v>807</v>
      </c>
      <c r="D39" s="52" t="s">
        <v>810</v>
      </c>
      <c r="E39" s="52" t="s">
        <v>351</v>
      </c>
      <c r="F39" s="52" t="s">
        <v>212</v>
      </c>
      <c r="G39" s="6">
        <f>'прил.16'!G32</f>
        <v>0.7</v>
      </c>
      <c r="H39" s="6">
        <f>'прил.16'!H32</f>
        <v>0.7</v>
      </c>
      <c r="I39" s="6">
        <f>'прил.16'!I32</f>
        <v>0.7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8" customHeight="1">
      <c r="A40" s="41" t="s">
        <v>626</v>
      </c>
      <c r="B40" s="41"/>
      <c r="C40" s="5" t="s">
        <v>807</v>
      </c>
      <c r="D40" s="5" t="s">
        <v>59</v>
      </c>
      <c r="E40" s="5"/>
      <c r="F40" s="5"/>
      <c r="G40" s="6">
        <f aca="true" t="shared" si="2" ref="G40:I41">G41</f>
        <v>0</v>
      </c>
      <c r="H40" s="6">
        <f t="shared" si="2"/>
        <v>211.7</v>
      </c>
      <c r="I40" s="6">
        <f t="shared" si="2"/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67.5" customHeight="1">
      <c r="A41" s="41" t="s">
        <v>644</v>
      </c>
      <c r="B41" s="41"/>
      <c r="C41" s="5" t="s">
        <v>807</v>
      </c>
      <c r="D41" s="5" t="s">
        <v>59</v>
      </c>
      <c r="E41" s="5" t="s">
        <v>326</v>
      </c>
      <c r="F41" s="5"/>
      <c r="G41" s="6">
        <f t="shared" si="2"/>
        <v>0</v>
      </c>
      <c r="H41" s="6">
        <f t="shared" si="2"/>
        <v>211.7</v>
      </c>
      <c r="I41" s="6">
        <f t="shared" si="2"/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9.5" customHeight="1">
      <c r="A42" s="57" t="s">
        <v>645</v>
      </c>
      <c r="B42" s="41"/>
      <c r="C42" s="5" t="s">
        <v>807</v>
      </c>
      <c r="D42" s="5" t="s">
        <v>59</v>
      </c>
      <c r="E42" s="5" t="s">
        <v>326</v>
      </c>
      <c r="F42" s="5" t="s">
        <v>212</v>
      </c>
      <c r="G42" s="6">
        <f>'прил.16'!G35</f>
        <v>0</v>
      </c>
      <c r="H42" s="6">
        <f>'прил.16'!H35</f>
        <v>211.7</v>
      </c>
      <c r="I42" s="6">
        <f>'прил.16'!I35</f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34.5" customHeight="1">
      <c r="A43" s="45" t="s">
        <v>632</v>
      </c>
      <c r="B43" s="45"/>
      <c r="C43" s="5" t="s">
        <v>807</v>
      </c>
      <c r="D43" s="5" t="s">
        <v>811</v>
      </c>
      <c r="E43" s="5"/>
      <c r="F43" s="5"/>
      <c r="G43" s="6">
        <f>G44+G47</f>
        <v>26238.7</v>
      </c>
      <c r="H43" s="6">
        <f>H44+H47</f>
        <v>26250.6</v>
      </c>
      <c r="I43" s="6">
        <f>I44+I47</f>
        <v>26261.8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7.5" customHeight="1">
      <c r="A44" s="41" t="s">
        <v>42</v>
      </c>
      <c r="B44" s="45"/>
      <c r="C44" s="5" t="s">
        <v>807</v>
      </c>
      <c r="D44" s="5" t="s">
        <v>811</v>
      </c>
      <c r="E44" s="5" t="s">
        <v>43</v>
      </c>
      <c r="F44" s="5"/>
      <c r="G44" s="6">
        <f aca="true" t="shared" si="3" ref="G44:I45">G45</f>
        <v>25995.3</v>
      </c>
      <c r="H44" s="6">
        <f t="shared" si="3"/>
        <v>26020.1</v>
      </c>
      <c r="I44" s="6">
        <f t="shared" si="3"/>
        <v>26031.3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6.5">
      <c r="A45" s="41" t="s">
        <v>589</v>
      </c>
      <c r="B45" s="131"/>
      <c r="C45" s="5" t="s">
        <v>807</v>
      </c>
      <c r="D45" s="5" t="s">
        <v>811</v>
      </c>
      <c r="E45" s="5" t="s">
        <v>45</v>
      </c>
      <c r="F45" s="5"/>
      <c r="G45" s="6">
        <f t="shared" si="3"/>
        <v>25995.3</v>
      </c>
      <c r="H45" s="6">
        <f t="shared" si="3"/>
        <v>26020.1</v>
      </c>
      <c r="I45" s="6">
        <f t="shared" si="3"/>
        <v>26031.3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6.5">
      <c r="A46" s="41" t="s">
        <v>361</v>
      </c>
      <c r="B46" s="41"/>
      <c r="C46" s="5" t="s">
        <v>807</v>
      </c>
      <c r="D46" s="5" t="s">
        <v>811</v>
      </c>
      <c r="E46" s="5" t="s">
        <v>45</v>
      </c>
      <c r="F46" s="5" t="s">
        <v>214</v>
      </c>
      <c r="G46" s="6">
        <f>'прил.16'!G504</f>
        <v>25995.3</v>
      </c>
      <c r="H46" s="6">
        <f>'прил.16'!H504</f>
        <v>26020.1</v>
      </c>
      <c r="I46" s="6">
        <f>'прил.16'!I504</f>
        <v>26031.3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6.5">
      <c r="A47" s="82" t="s">
        <v>29</v>
      </c>
      <c r="B47" s="41"/>
      <c r="C47" s="52" t="s">
        <v>807</v>
      </c>
      <c r="D47" s="52" t="s">
        <v>811</v>
      </c>
      <c r="E47" s="52" t="s">
        <v>30</v>
      </c>
      <c r="F47" s="52"/>
      <c r="G47" s="6">
        <f aca="true" t="shared" si="4" ref="G47:I48">G48</f>
        <v>243.4</v>
      </c>
      <c r="H47" s="6">
        <f t="shared" si="4"/>
        <v>230.5</v>
      </c>
      <c r="I47" s="6">
        <f t="shared" si="4"/>
        <v>230.5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3">
      <c r="A48" s="105" t="s">
        <v>335</v>
      </c>
      <c r="B48" s="41"/>
      <c r="C48" s="52" t="s">
        <v>807</v>
      </c>
      <c r="D48" s="52" t="s">
        <v>811</v>
      </c>
      <c r="E48" s="52" t="s">
        <v>348</v>
      </c>
      <c r="F48" s="52"/>
      <c r="G48" s="6">
        <f t="shared" si="4"/>
        <v>243.4</v>
      </c>
      <c r="H48" s="6">
        <f t="shared" si="4"/>
        <v>230.5</v>
      </c>
      <c r="I48" s="6">
        <f t="shared" si="4"/>
        <v>230.5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6.5">
      <c r="A49" s="105" t="s">
        <v>152</v>
      </c>
      <c r="B49" s="41"/>
      <c r="C49" s="52" t="s">
        <v>807</v>
      </c>
      <c r="D49" s="52" t="s">
        <v>811</v>
      </c>
      <c r="E49" s="52" t="s">
        <v>348</v>
      </c>
      <c r="F49" s="52" t="s">
        <v>212</v>
      </c>
      <c r="G49" s="40">
        <v>243.4</v>
      </c>
      <c r="H49" s="40">
        <v>230.5</v>
      </c>
      <c r="I49" s="40">
        <v>230.5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6.5" hidden="1">
      <c r="A50" s="20" t="s">
        <v>538</v>
      </c>
      <c r="B50" s="39">
        <v>842</v>
      </c>
      <c r="C50" s="43" t="s">
        <v>807</v>
      </c>
      <c r="D50" s="5" t="s">
        <v>529</v>
      </c>
      <c r="E50" s="5"/>
      <c r="F50" s="5"/>
      <c r="G50" s="6">
        <f>G51</f>
        <v>2005.6</v>
      </c>
      <c r="H50" s="6">
        <f aca="true" t="shared" si="5" ref="H50:I52">H51</f>
        <v>0</v>
      </c>
      <c r="I50" s="6">
        <f t="shared" si="5"/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8" customHeight="1" hidden="1">
      <c r="A51" s="44" t="s">
        <v>646</v>
      </c>
      <c r="B51" s="39">
        <v>842</v>
      </c>
      <c r="C51" s="43" t="s">
        <v>807</v>
      </c>
      <c r="D51" s="5" t="s">
        <v>529</v>
      </c>
      <c r="E51" s="5" t="s">
        <v>27</v>
      </c>
      <c r="F51" s="5"/>
      <c r="G51" s="6">
        <f>G52</f>
        <v>2005.6</v>
      </c>
      <c r="H51" s="6">
        <f t="shared" si="5"/>
        <v>0</v>
      </c>
      <c r="I51" s="6">
        <f t="shared" si="5"/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6" customHeight="1" hidden="1">
      <c r="A52" s="41" t="s">
        <v>25</v>
      </c>
      <c r="B52" s="39">
        <v>842</v>
      </c>
      <c r="C52" s="43" t="s">
        <v>807</v>
      </c>
      <c r="D52" s="5" t="s">
        <v>529</v>
      </c>
      <c r="E52" s="5" t="s">
        <v>26</v>
      </c>
      <c r="F52" s="5"/>
      <c r="G52" s="6">
        <f>G53</f>
        <v>2005.6</v>
      </c>
      <c r="H52" s="6">
        <f t="shared" si="5"/>
        <v>0</v>
      </c>
      <c r="I52" s="6">
        <f t="shared" si="5"/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6.5" hidden="1">
      <c r="A53" s="41" t="s">
        <v>361</v>
      </c>
      <c r="B53" s="39">
        <v>842</v>
      </c>
      <c r="C53" s="43" t="s">
        <v>807</v>
      </c>
      <c r="D53" s="5" t="s">
        <v>529</v>
      </c>
      <c r="E53" s="5" t="s">
        <v>45</v>
      </c>
      <c r="F53" s="5" t="s">
        <v>214</v>
      </c>
      <c r="G53" s="6">
        <f>'прил.16'!G39</f>
        <v>2005.6</v>
      </c>
      <c r="H53" s="6">
        <f>'прил.16'!H39</f>
        <v>0</v>
      </c>
      <c r="I53" s="6">
        <f>'прил.16'!I39</f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6.5">
      <c r="A54" s="45" t="s">
        <v>325</v>
      </c>
      <c r="B54" s="39"/>
      <c r="C54" s="5" t="s">
        <v>807</v>
      </c>
      <c r="D54" s="5" t="s">
        <v>62</v>
      </c>
      <c r="E54" s="5"/>
      <c r="F54" s="5"/>
      <c r="G54" s="6">
        <f>G55</f>
        <v>41443.399999999994</v>
      </c>
      <c r="H54" s="6">
        <f aca="true" t="shared" si="6" ref="H54:I56">H55</f>
        <v>50000</v>
      </c>
      <c r="I54" s="6">
        <f t="shared" si="6"/>
        <v>50000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6.5">
      <c r="A55" s="45" t="s">
        <v>647</v>
      </c>
      <c r="B55" s="39"/>
      <c r="C55" s="5" t="s">
        <v>807</v>
      </c>
      <c r="D55" s="5" t="s">
        <v>62</v>
      </c>
      <c r="E55" s="5" t="s">
        <v>324</v>
      </c>
      <c r="F55" s="5"/>
      <c r="G55" s="6">
        <f>G56</f>
        <v>41443.399999999994</v>
      </c>
      <c r="H55" s="6">
        <f t="shared" si="6"/>
        <v>50000</v>
      </c>
      <c r="I55" s="6">
        <f t="shared" si="6"/>
        <v>50000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25" customFormat="1" ht="16.5">
      <c r="A56" s="45" t="s">
        <v>535</v>
      </c>
      <c r="B56" s="39"/>
      <c r="C56" s="5" t="s">
        <v>807</v>
      </c>
      <c r="D56" s="5" t="s">
        <v>62</v>
      </c>
      <c r="E56" s="5" t="s">
        <v>536</v>
      </c>
      <c r="F56" s="5"/>
      <c r="G56" s="6">
        <f>G57</f>
        <v>41443.399999999994</v>
      </c>
      <c r="H56" s="6">
        <f t="shared" si="6"/>
        <v>50000</v>
      </c>
      <c r="I56" s="6">
        <f t="shared" si="6"/>
        <v>50000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26" customFormat="1" ht="16.5">
      <c r="A57" s="45" t="s">
        <v>157</v>
      </c>
      <c r="B57" s="39"/>
      <c r="C57" s="5" t="s">
        <v>807</v>
      </c>
      <c r="D57" s="5" t="s">
        <v>62</v>
      </c>
      <c r="E57" s="5" t="s">
        <v>536</v>
      </c>
      <c r="F57" s="5" t="s">
        <v>559</v>
      </c>
      <c r="G57" s="6">
        <f>'прил.16'!G511</f>
        <v>41443.399999999994</v>
      </c>
      <c r="H57" s="6">
        <f>'прил.16'!H511</f>
        <v>50000</v>
      </c>
      <c r="I57" s="6">
        <f>'прил.16'!I511</f>
        <v>50000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6.5">
      <c r="A58" s="45" t="s">
        <v>327</v>
      </c>
      <c r="B58" s="45"/>
      <c r="C58" s="5" t="s">
        <v>807</v>
      </c>
      <c r="D58" s="5" t="s">
        <v>508</v>
      </c>
      <c r="E58" s="5"/>
      <c r="F58" s="5"/>
      <c r="G58" s="6">
        <f>G61+G64+G67+G73+G78+G89+G93+G59</f>
        <v>118838.09999999999</v>
      </c>
      <c r="H58" s="6">
        <f>H61+H64+H67+H73+H78+H89+H93</f>
        <v>87605.5</v>
      </c>
      <c r="I58" s="6">
        <f>I61+I64+I67+I73+I78+I89+I93</f>
        <v>90594.7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3" hidden="1">
      <c r="A59" s="42" t="s">
        <v>619</v>
      </c>
      <c r="B59" s="45"/>
      <c r="C59" s="5" t="s">
        <v>807</v>
      </c>
      <c r="D59" s="5" t="s">
        <v>508</v>
      </c>
      <c r="E59" s="5" t="s">
        <v>221</v>
      </c>
      <c r="F59" s="5"/>
      <c r="G59" s="6">
        <f>G60</f>
        <v>2768</v>
      </c>
      <c r="H59" s="6">
        <f>H60</f>
        <v>0</v>
      </c>
      <c r="I59" s="6">
        <f>I60</f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6.5" hidden="1">
      <c r="A60" s="41" t="s">
        <v>377</v>
      </c>
      <c r="B60" s="45"/>
      <c r="C60" s="5" t="s">
        <v>807</v>
      </c>
      <c r="D60" s="5" t="s">
        <v>508</v>
      </c>
      <c r="E60" s="5" t="s">
        <v>221</v>
      </c>
      <c r="F60" s="5" t="s">
        <v>212</v>
      </c>
      <c r="G60" s="6">
        <f>'прил.16'!G781</f>
        <v>2768</v>
      </c>
      <c r="H60" s="6">
        <f>'прил.16'!H781</f>
        <v>0</v>
      </c>
      <c r="I60" s="6">
        <f>'прил.16'!I781</f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6.5">
      <c r="A61" s="45" t="s">
        <v>648</v>
      </c>
      <c r="B61" s="39"/>
      <c r="C61" s="5" t="s">
        <v>807</v>
      </c>
      <c r="D61" s="5" t="s">
        <v>508</v>
      </c>
      <c r="E61" s="47" t="s">
        <v>43</v>
      </c>
      <c r="F61" s="132"/>
      <c r="G61" s="6">
        <f aca="true" t="shared" si="7" ref="G61:I62">G62</f>
        <v>1629</v>
      </c>
      <c r="H61" s="6">
        <f t="shared" si="7"/>
        <v>1629</v>
      </c>
      <c r="I61" s="6">
        <f t="shared" si="7"/>
        <v>1629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32.25" customHeight="1">
      <c r="A62" s="45" t="s">
        <v>195</v>
      </c>
      <c r="B62" s="39"/>
      <c r="C62" s="5" t="s">
        <v>807</v>
      </c>
      <c r="D62" s="5" t="s">
        <v>508</v>
      </c>
      <c r="E62" s="5" t="s">
        <v>194</v>
      </c>
      <c r="F62" s="5"/>
      <c r="G62" s="6">
        <f t="shared" si="7"/>
        <v>1629</v>
      </c>
      <c r="H62" s="6">
        <f t="shared" si="7"/>
        <v>1629</v>
      </c>
      <c r="I62" s="6">
        <f t="shared" si="7"/>
        <v>1629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6.5">
      <c r="A63" s="41" t="s">
        <v>361</v>
      </c>
      <c r="B63" s="39"/>
      <c r="C63" s="5" t="s">
        <v>807</v>
      </c>
      <c r="D63" s="5" t="s">
        <v>508</v>
      </c>
      <c r="E63" s="5" t="s">
        <v>194</v>
      </c>
      <c r="F63" s="5" t="s">
        <v>214</v>
      </c>
      <c r="G63" s="6">
        <f>'прил.16'!G785</f>
        <v>1629</v>
      </c>
      <c r="H63" s="6">
        <f>'прил.16'!H785</f>
        <v>1629</v>
      </c>
      <c r="I63" s="6">
        <f>'прил.16'!I785</f>
        <v>1629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3.75" customHeight="1">
      <c r="A64" s="81" t="s">
        <v>115</v>
      </c>
      <c r="B64" s="39"/>
      <c r="C64" s="5" t="s">
        <v>807</v>
      </c>
      <c r="D64" s="5" t="s">
        <v>508</v>
      </c>
      <c r="E64" s="5" t="s">
        <v>196</v>
      </c>
      <c r="F64" s="5"/>
      <c r="G64" s="6">
        <f aca="true" t="shared" si="8" ref="G64:I65">G65</f>
        <v>6778.4</v>
      </c>
      <c r="H64" s="6">
        <f t="shared" si="8"/>
        <v>3254.9</v>
      </c>
      <c r="I64" s="6">
        <f t="shared" si="8"/>
        <v>2698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33.75" customHeight="1">
      <c r="A65" s="20" t="s">
        <v>649</v>
      </c>
      <c r="B65" s="39"/>
      <c r="C65" s="5" t="s">
        <v>807</v>
      </c>
      <c r="D65" s="5" t="s">
        <v>508</v>
      </c>
      <c r="E65" s="5" t="s">
        <v>198</v>
      </c>
      <c r="F65" s="5"/>
      <c r="G65" s="6">
        <f t="shared" si="8"/>
        <v>6778.4</v>
      </c>
      <c r="H65" s="6">
        <f t="shared" si="8"/>
        <v>3254.9</v>
      </c>
      <c r="I65" s="6">
        <f t="shared" si="8"/>
        <v>2698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6.5">
      <c r="A66" s="41" t="s">
        <v>361</v>
      </c>
      <c r="B66" s="39"/>
      <c r="C66" s="5" t="s">
        <v>807</v>
      </c>
      <c r="D66" s="5" t="s">
        <v>508</v>
      </c>
      <c r="E66" s="5" t="s">
        <v>198</v>
      </c>
      <c r="F66" s="5" t="s">
        <v>214</v>
      </c>
      <c r="G66" s="6">
        <f>'прил.16'!G788</f>
        <v>6778.4</v>
      </c>
      <c r="H66" s="6">
        <f>'прил.16'!H788</f>
        <v>3254.9</v>
      </c>
      <c r="I66" s="6">
        <f>'прил.16'!I788</f>
        <v>2698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21" customHeight="1">
      <c r="A67" s="46" t="s">
        <v>20</v>
      </c>
      <c r="B67" s="39"/>
      <c r="C67" s="5" t="s">
        <v>807</v>
      </c>
      <c r="D67" s="5" t="s">
        <v>508</v>
      </c>
      <c r="E67" s="5" t="s">
        <v>357</v>
      </c>
      <c r="F67" s="5"/>
      <c r="G67" s="6">
        <f>G68+G71</f>
        <v>94616.5</v>
      </c>
      <c r="H67" s="6">
        <f>H68+H71</f>
        <v>71906.8</v>
      </c>
      <c r="I67" s="6">
        <f>I68+I71</f>
        <v>74935.5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8.75" customHeight="1">
      <c r="A68" s="41" t="s">
        <v>650</v>
      </c>
      <c r="B68" s="39"/>
      <c r="C68" s="5" t="s">
        <v>807</v>
      </c>
      <c r="D68" s="5" t="s">
        <v>508</v>
      </c>
      <c r="E68" s="5" t="s">
        <v>413</v>
      </c>
      <c r="F68" s="5"/>
      <c r="G68" s="6">
        <f>G69+G70</f>
        <v>8803.5</v>
      </c>
      <c r="H68" s="6">
        <f>H69+H70</f>
        <v>912.5</v>
      </c>
      <c r="I68" s="6">
        <f>I69+I70</f>
        <v>877.5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.75" customHeight="1" hidden="1">
      <c r="A69" s="45" t="s">
        <v>651</v>
      </c>
      <c r="B69" s="39"/>
      <c r="C69" s="5" t="s">
        <v>807</v>
      </c>
      <c r="D69" s="5" t="s">
        <v>508</v>
      </c>
      <c r="E69" s="5" t="s">
        <v>413</v>
      </c>
      <c r="F69" s="5" t="s">
        <v>257</v>
      </c>
      <c r="G69" s="6">
        <f>'прил.16'!G43</f>
        <v>700</v>
      </c>
      <c r="H69" s="6">
        <f>'прил.16'!H43</f>
        <v>0</v>
      </c>
      <c r="I69" s="6">
        <f>'прил.16'!I43</f>
        <v>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6.5">
      <c r="A70" s="41" t="s">
        <v>361</v>
      </c>
      <c r="B70" s="39"/>
      <c r="C70" s="5" t="s">
        <v>807</v>
      </c>
      <c r="D70" s="5" t="s">
        <v>508</v>
      </c>
      <c r="E70" s="5" t="s">
        <v>413</v>
      </c>
      <c r="F70" s="5" t="s">
        <v>214</v>
      </c>
      <c r="G70" s="6">
        <f>'прил.16'!G791+'прил.16'!G44+'прил.16'!G181+'прил.16'!G515+'прил.16'!G544+'прил.16'!G854</f>
        <v>8103.5</v>
      </c>
      <c r="H70" s="6">
        <f>'прил.16'!H791+'прил.16'!H44+'прил.16'!H181+'прил.16'!H515+'прил.16'!H544+'прил.16'!H854</f>
        <v>912.5</v>
      </c>
      <c r="I70" s="6">
        <f>'прил.16'!I791+'прил.16'!I44+'прил.16'!I181+'прил.16'!I515+'прил.16'!I544+'прил.16'!I854</f>
        <v>877.5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6.5">
      <c r="A71" s="45" t="s">
        <v>566</v>
      </c>
      <c r="B71" s="39"/>
      <c r="C71" s="5" t="s">
        <v>807</v>
      </c>
      <c r="D71" s="5" t="s">
        <v>508</v>
      </c>
      <c r="E71" s="5" t="s">
        <v>574</v>
      </c>
      <c r="F71" s="5"/>
      <c r="G71" s="6">
        <f>G72</f>
        <v>85813</v>
      </c>
      <c r="H71" s="6">
        <f>H72</f>
        <v>70994.3</v>
      </c>
      <c r="I71" s="6">
        <f>I72</f>
        <v>74058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6.5">
      <c r="A72" s="41" t="s">
        <v>13</v>
      </c>
      <c r="B72" s="39"/>
      <c r="C72" s="5" t="s">
        <v>807</v>
      </c>
      <c r="D72" s="5" t="s">
        <v>508</v>
      </c>
      <c r="E72" s="5" t="s">
        <v>574</v>
      </c>
      <c r="F72" s="5" t="s">
        <v>572</v>
      </c>
      <c r="G72" s="6">
        <f>'прил.16'!G46</f>
        <v>85813</v>
      </c>
      <c r="H72" s="6">
        <f>'прил.16'!H46</f>
        <v>70994.3</v>
      </c>
      <c r="I72" s="6">
        <f>'прил.16'!I46</f>
        <v>74058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22.5" customHeight="1">
      <c r="A73" s="41" t="s">
        <v>652</v>
      </c>
      <c r="B73" s="41"/>
      <c r="C73" s="5" t="s">
        <v>807</v>
      </c>
      <c r="D73" s="5" t="s">
        <v>508</v>
      </c>
      <c r="E73" s="47" t="s">
        <v>160</v>
      </c>
      <c r="F73" s="5"/>
      <c r="G73" s="6">
        <f>G74+G76</f>
        <v>10105.5</v>
      </c>
      <c r="H73" s="6">
        <f>H74+H76</f>
        <v>7923.5</v>
      </c>
      <c r="I73" s="6">
        <f>I74+I76</f>
        <v>8120.9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8" customHeight="1">
      <c r="A74" s="45" t="s">
        <v>593</v>
      </c>
      <c r="B74" s="45"/>
      <c r="C74" s="5" t="s">
        <v>807</v>
      </c>
      <c r="D74" s="5" t="s">
        <v>508</v>
      </c>
      <c r="E74" s="47" t="s">
        <v>505</v>
      </c>
      <c r="F74" s="5"/>
      <c r="G74" s="6">
        <f>G75</f>
        <v>111.7</v>
      </c>
      <c r="H74" s="6">
        <f>H75</f>
        <v>111.7</v>
      </c>
      <c r="I74" s="6">
        <f>I75</f>
        <v>111.7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7.25" customHeight="1">
      <c r="A75" s="41" t="s">
        <v>13</v>
      </c>
      <c r="B75" s="130"/>
      <c r="C75" s="5" t="s">
        <v>807</v>
      </c>
      <c r="D75" s="5" t="s">
        <v>508</v>
      </c>
      <c r="E75" s="47" t="s">
        <v>505</v>
      </c>
      <c r="F75" s="5" t="s">
        <v>572</v>
      </c>
      <c r="G75" s="6">
        <f>'прил.16'!G49</f>
        <v>111.7</v>
      </c>
      <c r="H75" s="6">
        <f>'прил.16'!H49</f>
        <v>111.7</v>
      </c>
      <c r="I75" s="6">
        <f>'прил.16'!I49</f>
        <v>111.7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8" customHeight="1">
      <c r="A76" s="45" t="s">
        <v>566</v>
      </c>
      <c r="B76" s="45"/>
      <c r="C76" s="5" t="s">
        <v>807</v>
      </c>
      <c r="D76" s="5" t="s">
        <v>508</v>
      </c>
      <c r="E76" s="5" t="s">
        <v>161</v>
      </c>
      <c r="F76" s="5"/>
      <c r="G76" s="6">
        <f>G77</f>
        <v>9993.8</v>
      </c>
      <c r="H76" s="6">
        <f>H77</f>
        <v>7811.8</v>
      </c>
      <c r="I76" s="6">
        <f>I77</f>
        <v>8009.2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7.25" customHeight="1">
      <c r="A77" s="41" t="s">
        <v>13</v>
      </c>
      <c r="B77" s="130"/>
      <c r="C77" s="5" t="s">
        <v>807</v>
      </c>
      <c r="D77" s="5" t="s">
        <v>508</v>
      </c>
      <c r="E77" s="5" t="s">
        <v>161</v>
      </c>
      <c r="F77" s="5" t="s">
        <v>572</v>
      </c>
      <c r="G77" s="6">
        <f>'прил.16'!G51+'прил.16'!G857</f>
        <v>9993.8</v>
      </c>
      <c r="H77" s="6">
        <f>'прил.16'!H51+'прил.16'!H857</f>
        <v>7811.8</v>
      </c>
      <c r="I77" s="6">
        <f>'прил.16'!I51+'прил.16'!I857</f>
        <v>8009.2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8.75" customHeight="1">
      <c r="A78" s="42" t="s">
        <v>653</v>
      </c>
      <c r="B78" s="41"/>
      <c r="C78" s="5" t="s">
        <v>807</v>
      </c>
      <c r="D78" s="5" t="s">
        <v>508</v>
      </c>
      <c r="E78" s="5" t="s">
        <v>30</v>
      </c>
      <c r="F78" s="5"/>
      <c r="G78" s="6">
        <f>G81+G85+G87+G79+G83</f>
        <v>838.2</v>
      </c>
      <c r="H78" s="6">
        <f>H81+H85+H87+H79+H83</f>
        <v>796.3</v>
      </c>
      <c r="I78" s="6">
        <f>I81+I85+I87+I79+I83</f>
        <v>796.3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53.25" customHeight="1" hidden="1">
      <c r="A79" s="42" t="s">
        <v>654</v>
      </c>
      <c r="B79" s="41"/>
      <c r="C79" s="5" t="s">
        <v>807</v>
      </c>
      <c r="D79" s="5" t="s">
        <v>508</v>
      </c>
      <c r="E79" s="5" t="s">
        <v>349</v>
      </c>
      <c r="F79" s="5"/>
      <c r="G79" s="6">
        <f>G80</f>
        <v>0</v>
      </c>
      <c r="H79" s="6">
        <f>H80</f>
        <v>0</v>
      </c>
      <c r="I79" s="6">
        <f>I80</f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8.75" customHeight="1" hidden="1">
      <c r="A80" s="41" t="s">
        <v>377</v>
      </c>
      <c r="B80" s="41"/>
      <c r="C80" s="5" t="s">
        <v>807</v>
      </c>
      <c r="D80" s="5" t="s">
        <v>508</v>
      </c>
      <c r="E80" s="5" t="s">
        <v>349</v>
      </c>
      <c r="F80" s="5" t="s">
        <v>212</v>
      </c>
      <c r="G80" s="6">
        <f>'прил.16'!G54</f>
        <v>0</v>
      </c>
      <c r="H80" s="6">
        <f>'прил.16'!H54</f>
        <v>0</v>
      </c>
      <c r="I80" s="6">
        <f>'прил.16'!I54</f>
        <v>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35.25" customHeight="1">
      <c r="A81" s="42" t="s">
        <v>604</v>
      </c>
      <c r="B81" s="45"/>
      <c r="C81" s="5" t="s">
        <v>807</v>
      </c>
      <c r="D81" s="5" t="s">
        <v>508</v>
      </c>
      <c r="E81" s="5" t="s">
        <v>347</v>
      </c>
      <c r="F81" s="5"/>
      <c r="G81" s="6">
        <f>G82</f>
        <v>838.2</v>
      </c>
      <c r="H81" s="6">
        <f>H82</f>
        <v>796.3</v>
      </c>
      <c r="I81" s="6">
        <f>I82</f>
        <v>796.3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.75" customHeight="1">
      <c r="A82" s="41" t="s">
        <v>13</v>
      </c>
      <c r="B82" s="130"/>
      <c r="C82" s="5" t="s">
        <v>807</v>
      </c>
      <c r="D82" s="5" t="s">
        <v>508</v>
      </c>
      <c r="E82" s="5" t="s">
        <v>347</v>
      </c>
      <c r="F82" s="5" t="s">
        <v>572</v>
      </c>
      <c r="G82" s="6">
        <f>'прил.16'!G56</f>
        <v>838.2</v>
      </c>
      <c r="H82" s="6">
        <f>'прил.16'!H56</f>
        <v>796.3</v>
      </c>
      <c r="I82" s="6">
        <f>'прил.16'!I56</f>
        <v>796.3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35.25" customHeight="1" hidden="1">
      <c r="A83" s="57" t="s">
        <v>335</v>
      </c>
      <c r="B83" s="130"/>
      <c r="C83" s="5" t="s">
        <v>807</v>
      </c>
      <c r="D83" s="5" t="s">
        <v>508</v>
      </c>
      <c r="E83" s="5" t="s">
        <v>348</v>
      </c>
      <c r="F83" s="5"/>
      <c r="G83" s="6">
        <f>G84</f>
        <v>0</v>
      </c>
      <c r="H83" s="6">
        <f>H84</f>
        <v>0</v>
      </c>
      <c r="I83" s="6">
        <f>I84</f>
        <v>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 customHeight="1" hidden="1">
      <c r="A84" s="57" t="s">
        <v>645</v>
      </c>
      <c r="B84" s="130"/>
      <c r="C84" s="5" t="s">
        <v>807</v>
      </c>
      <c r="D84" s="5" t="s">
        <v>508</v>
      </c>
      <c r="E84" s="5" t="s">
        <v>348</v>
      </c>
      <c r="F84" s="5" t="s">
        <v>212</v>
      </c>
      <c r="G84" s="6">
        <f>'прил.16'!G518</f>
        <v>0</v>
      </c>
      <c r="H84" s="6">
        <f>'прил.16'!H518</f>
        <v>0</v>
      </c>
      <c r="I84" s="6">
        <f>'прил.16'!I518</f>
        <v>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35.25" customHeight="1" hidden="1">
      <c r="A85" s="41" t="s">
        <v>655</v>
      </c>
      <c r="B85" s="130"/>
      <c r="C85" s="5" t="s">
        <v>807</v>
      </c>
      <c r="D85" s="5" t="s">
        <v>508</v>
      </c>
      <c r="E85" s="5" t="s">
        <v>350</v>
      </c>
      <c r="F85" s="5"/>
      <c r="G85" s="6">
        <f>G86</f>
        <v>0</v>
      </c>
      <c r="H85" s="6">
        <f>H86</f>
        <v>0</v>
      </c>
      <c r="I85" s="6">
        <f>I86</f>
        <v>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customHeight="1" hidden="1">
      <c r="A86" s="41" t="s">
        <v>377</v>
      </c>
      <c r="B86" s="130"/>
      <c r="C86" s="5" t="s">
        <v>807</v>
      </c>
      <c r="D86" s="5" t="s">
        <v>508</v>
      </c>
      <c r="E86" s="5" t="s">
        <v>350</v>
      </c>
      <c r="F86" s="5" t="s">
        <v>212</v>
      </c>
      <c r="G86" s="6">
        <f>'прил.16'!G58</f>
        <v>0</v>
      </c>
      <c r="H86" s="6">
        <f>'прил.16'!H58</f>
        <v>0</v>
      </c>
      <c r="I86" s="6">
        <f>'прил.16'!I58</f>
        <v>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69.75" customHeight="1" hidden="1">
      <c r="A87" s="41" t="s">
        <v>656</v>
      </c>
      <c r="B87" s="130"/>
      <c r="C87" s="5" t="s">
        <v>807</v>
      </c>
      <c r="D87" s="5" t="s">
        <v>508</v>
      </c>
      <c r="E87" s="5" t="s">
        <v>351</v>
      </c>
      <c r="F87" s="5"/>
      <c r="G87" s="6">
        <f>G88</f>
        <v>0</v>
      </c>
      <c r="H87" s="6">
        <f>H88</f>
        <v>0</v>
      </c>
      <c r="I87" s="6">
        <f>I88</f>
        <v>0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 customHeight="1" hidden="1">
      <c r="A88" s="41" t="s">
        <v>377</v>
      </c>
      <c r="B88" s="130"/>
      <c r="C88" s="5" t="s">
        <v>807</v>
      </c>
      <c r="D88" s="5" t="s">
        <v>508</v>
      </c>
      <c r="E88" s="5" t="s">
        <v>351</v>
      </c>
      <c r="F88" s="5" t="s">
        <v>212</v>
      </c>
      <c r="G88" s="6">
        <f>'прил.16'!G60</f>
        <v>0</v>
      </c>
      <c r="H88" s="6">
        <f>'прил.16'!H60</f>
        <v>0</v>
      </c>
      <c r="I88" s="6">
        <f>'прил.16'!I60</f>
        <v>0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.75" customHeight="1" hidden="1">
      <c r="A89" s="42" t="s">
        <v>297</v>
      </c>
      <c r="B89" s="130"/>
      <c r="C89" s="5" t="s">
        <v>807</v>
      </c>
      <c r="D89" s="5" t="s">
        <v>508</v>
      </c>
      <c r="E89" s="5" t="s">
        <v>395</v>
      </c>
      <c r="F89" s="5"/>
      <c r="G89" s="6">
        <f aca="true" t="shared" si="9" ref="G89:I90">G90</f>
        <v>0</v>
      </c>
      <c r="H89" s="6">
        <f t="shared" si="9"/>
        <v>0</v>
      </c>
      <c r="I89" s="6">
        <f t="shared" si="9"/>
        <v>0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38.25" customHeight="1" hidden="1">
      <c r="A90" s="45" t="s">
        <v>243</v>
      </c>
      <c r="B90" s="130"/>
      <c r="C90" s="5" t="s">
        <v>807</v>
      </c>
      <c r="D90" s="5" t="s">
        <v>508</v>
      </c>
      <c r="E90" s="5" t="s">
        <v>229</v>
      </c>
      <c r="F90" s="5"/>
      <c r="G90" s="6">
        <f t="shared" si="9"/>
        <v>0</v>
      </c>
      <c r="H90" s="6">
        <f t="shared" si="9"/>
        <v>0</v>
      </c>
      <c r="I90" s="6">
        <f t="shared" si="9"/>
        <v>0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customHeight="1" hidden="1">
      <c r="A91" s="42" t="s">
        <v>19</v>
      </c>
      <c r="B91" s="130"/>
      <c r="C91" s="5" t="s">
        <v>807</v>
      </c>
      <c r="D91" s="5" t="s">
        <v>508</v>
      </c>
      <c r="E91" s="5" t="s">
        <v>229</v>
      </c>
      <c r="F91" s="5" t="s">
        <v>72</v>
      </c>
      <c r="G91" s="6">
        <f>'прил.16'!G860</f>
        <v>0</v>
      </c>
      <c r="H91" s="6">
        <f>'прил.16'!H860</f>
        <v>0</v>
      </c>
      <c r="I91" s="6">
        <f>'прил.16'!I860</f>
        <v>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.75" customHeight="1">
      <c r="A92" s="45" t="s">
        <v>364</v>
      </c>
      <c r="B92" s="45"/>
      <c r="C92" s="5" t="s">
        <v>807</v>
      </c>
      <c r="D92" s="5" t="s">
        <v>508</v>
      </c>
      <c r="E92" s="5" t="s">
        <v>358</v>
      </c>
      <c r="F92" s="5"/>
      <c r="G92" s="6">
        <f>G93</f>
        <v>2102.5</v>
      </c>
      <c r="H92" s="6">
        <f>H93</f>
        <v>2095</v>
      </c>
      <c r="I92" s="6">
        <f>I93</f>
        <v>2415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6.5">
      <c r="A93" s="45" t="s">
        <v>394</v>
      </c>
      <c r="B93" s="45"/>
      <c r="C93" s="5" t="s">
        <v>807</v>
      </c>
      <c r="D93" s="5" t="s">
        <v>508</v>
      </c>
      <c r="E93" s="5" t="s">
        <v>359</v>
      </c>
      <c r="F93" s="5"/>
      <c r="G93" s="6">
        <f>G94+G96</f>
        <v>2102.5</v>
      </c>
      <c r="H93" s="6">
        <f>H94+H96</f>
        <v>2095</v>
      </c>
      <c r="I93" s="6">
        <f>I94+I96</f>
        <v>2415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7.25" customHeight="1">
      <c r="A94" s="45" t="s">
        <v>216</v>
      </c>
      <c r="B94" s="45"/>
      <c r="C94" s="5" t="s">
        <v>807</v>
      </c>
      <c r="D94" s="5" t="s">
        <v>508</v>
      </c>
      <c r="E94" s="5" t="s">
        <v>369</v>
      </c>
      <c r="F94" s="5"/>
      <c r="G94" s="6">
        <f>G95</f>
        <v>1934.5</v>
      </c>
      <c r="H94" s="6">
        <f>H95</f>
        <v>2095</v>
      </c>
      <c r="I94" s="6">
        <f>I95</f>
        <v>2415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6.5">
      <c r="A95" s="41" t="s">
        <v>361</v>
      </c>
      <c r="B95" s="41"/>
      <c r="C95" s="5" t="s">
        <v>807</v>
      </c>
      <c r="D95" s="5" t="s">
        <v>508</v>
      </c>
      <c r="E95" s="5" t="s">
        <v>369</v>
      </c>
      <c r="F95" s="5" t="s">
        <v>214</v>
      </c>
      <c r="G95" s="6">
        <f>'прил.16'!G64</f>
        <v>1934.5</v>
      </c>
      <c r="H95" s="6">
        <f>'прил.16'!H64</f>
        <v>2095</v>
      </c>
      <c r="I95" s="6">
        <f>'прил.16'!I64</f>
        <v>2415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33" hidden="1">
      <c r="A96" s="42" t="s">
        <v>375</v>
      </c>
      <c r="B96" s="41"/>
      <c r="C96" s="5" t="s">
        <v>807</v>
      </c>
      <c r="D96" s="5" t="s">
        <v>508</v>
      </c>
      <c r="E96" s="5" t="s">
        <v>373</v>
      </c>
      <c r="F96" s="5"/>
      <c r="G96" s="6">
        <f>G97</f>
        <v>168</v>
      </c>
      <c r="H96" s="6">
        <f>H97</f>
        <v>0</v>
      </c>
      <c r="I96" s="6">
        <f>I97</f>
        <v>0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6.5" hidden="1">
      <c r="A97" s="42" t="s">
        <v>361</v>
      </c>
      <c r="B97" s="41"/>
      <c r="C97" s="5" t="s">
        <v>807</v>
      </c>
      <c r="D97" s="5" t="s">
        <v>508</v>
      </c>
      <c r="E97" s="5" t="s">
        <v>373</v>
      </c>
      <c r="F97" s="5" t="s">
        <v>214</v>
      </c>
      <c r="G97" s="6">
        <f>'прил.16'!G66</f>
        <v>168</v>
      </c>
      <c r="H97" s="6">
        <f>'прил.16'!H66</f>
        <v>0</v>
      </c>
      <c r="I97" s="6">
        <f>'прил.16'!I66</f>
        <v>0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8" customHeight="1">
      <c r="A98" s="45" t="s">
        <v>210</v>
      </c>
      <c r="B98" s="45"/>
      <c r="C98" s="5" t="s">
        <v>809</v>
      </c>
      <c r="D98" s="5"/>
      <c r="E98" s="5"/>
      <c r="F98" s="5"/>
      <c r="G98" s="6">
        <f>G99+G111+G121</f>
        <v>61553.2</v>
      </c>
      <c r="H98" s="6">
        <f>H99+H111+H121</f>
        <v>58288.600000000006</v>
      </c>
      <c r="I98" s="6">
        <f>I99+I111+I121</f>
        <v>58819.5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6.5">
      <c r="A99" s="45" t="s">
        <v>657</v>
      </c>
      <c r="B99" s="45"/>
      <c r="C99" s="5" t="s">
        <v>809</v>
      </c>
      <c r="D99" s="5" t="s">
        <v>808</v>
      </c>
      <c r="E99" s="5"/>
      <c r="F99" s="5"/>
      <c r="G99" s="6">
        <f>G100</f>
        <v>23212.2</v>
      </c>
      <c r="H99" s="6">
        <f>H100</f>
        <v>23339.600000000002</v>
      </c>
      <c r="I99" s="6">
        <f>I100</f>
        <v>23440.1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6.5">
      <c r="A100" s="41" t="s">
        <v>118</v>
      </c>
      <c r="B100" s="41"/>
      <c r="C100" s="5" t="s">
        <v>809</v>
      </c>
      <c r="D100" s="5" t="s">
        <v>808</v>
      </c>
      <c r="E100" s="5" t="s">
        <v>207</v>
      </c>
      <c r="F100" s="5"/>
      <c r="G100" s="6">
        <f>G101+G103+G105+G107+G109</f>
        <v>23212.2</v>
      </c>
      <c r="H100" s="6">
        <f>H101+H103+H105+H107+H109</f>
        <v>23339.600000000002</v>
      </c>
      <c r="I100" s="6">
        <f>I101+I103+I105+I107+I109</f>
        <v>23440.1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51" customHeight="1" hidden="1">
      <c r="A101" s="53" t="s">
        <v>168</v>
      </c>
      <c r="B101" s="53"/>
      <c r="C101" s="5" t="s">
        <v>809</v>
      </c>
      <c r="D101" s="5" t="s">
        <v>808</v>
      </c>
      <c r="E101" s="5" t="s">
        <v>208</v>
      </c>
      <c r="F101" s="5"/>
      <c r="G101" s="6">
        <f>G102</f>
        <v>0</v>
      </c>
      <c r="H101" s="6">
        <f>H102</f>
        <v>0</v>
      </c>
      <c r="I101" s="6">
        <f>I102</f>
        <v>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33.75" customHeight="1" hidden="1">
      <c r="A102" s="53" t="s">
        <v>2</v>
      </c>
      <c r="B102" s="53"/>
      <c r="C102" s="5" t="s">
        <v>809</v>
      </c>
      <c r="D102" s="5" t="s">
        <v>808</v>
      </c>
      <c r="E102" s="5" t="s">
        <v>208</v>
      </c>
      <c r="F102" s="5" t="s">
        <v>527</v>
      </c>
      <c r="G102" s="6">
        <f>'прил.16'!G1023</f>
        <v>0</v>
      </c>
      <c r="H102" s="6">
        <f>'прил.16'!H1023</f>
        <v>0</v>
      </c>
      <c r="I102" s="6">
        <f>'прил.16'!I1023</f>
        <v>0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6.5">
      <c r="A103" s="53" t="s">
        <v>3</v>
      </c>
      <c r="B103" s="53"/>
      <c r="C103" s="5" t="s">
        <v>809</v>
      </c>
      <c r="D103" s="5" t="s">
        <v>808</v>
      </c>
      <c r="E103" s="5" t="s">
        <v>531</v>
      </c>
      <c r="F103" s="5"/>
      <c r="G103" s="6">
        <f>G104</f>
        <v>11919.2</v>
      </c>
      <c r="H103" s="6">
        <f>H104</f>
        <v>11919.2</v>
      </c>
      <c r="I103" s="6">
        <f>I104</f>
        <v>11919.2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33.75" customHeight="1">
      <c r="A104" s="53" t="s">
        <v>2</v>
      </c>
      <c r="B104" s="53"/>
      <c r="C104" s="5" t="s">
        <v>809</v>
      </c>
      <c r="D104" s="5" t="s">
        <v>808</v>
      </c>
      <c r="E104" s="5" t="s">
        <v>531</v>
      </c>
      <c r="F104" s="5" t="s">
        <v>527</v>
      </c>
      <c r="G104" s="6">
        <f>'прил.16'!G1025</f>
        <v>11919.2</v>
      </c>
      <c r="H104" s="6">
        <f>'прил.16'!H1025</f>
        <v>11919.2</v>
      </c>
      <c r="I104" s="6">
        <f>'прил.16'!I1025</f>
        <v>11919.2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33.75" customHeight="1">
      <c r="A105" s="45" t="s">
        <v>51</v>
      </c>
      <c r="B105" s="45"/>
      <c r="C105" s="5" t="s">
        <v>809</v>
      </c>
      <c r="D105" s="5" t="s">
        <v>808</v>
      </c>
      <c r="E105" s="5" t="s">
        <v>532</v>
      </c>
      <c r="F105" s="5"/>
      <c r="G105" s="6">
        <f>G106</f>
        <v>10537</v>
      </c>
      <c r="H105" s="6">
        <f>H106</f>
        <v>10626.5</v>
      </c>
      <c r="I105" s="6">
        <f>I106</f>
        <v>10691.2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35.25" customHeight="1">
      <c r="A106" s="53" t="s">
        <v>2</v>
      </c>
      <c r="B106" s="53"/>
      <c r="C106" s="5" t="s">
        <v>809</v>
      </c>
      <c r="D106" s="5" t="s">
        <v>808</v>
      </c>
      <c r="E106" s="5" t="s">
        <v>532</v>
      </c>
      <c r="F106" s="5" t="s">
        <v>527</v>
      </c>
      <c r="G106" s="6">
        <f>'прил.16'!G1027</f>
        <v>10537</v>
      </c>
      <c r="H106" s="6">
        <f>'прил.16'!H1027</f>
        <v>10626.5</v>
      </c>
      <c r="I106" s="6">
        <f>'прил.16'!I1027</f>
        <v>10691.2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6.5">
      <c r="A107" s="20" t="s">
        <v>658</v>
      </c>
      <c r="B107" s="20"/>
      <c r="C107" s="5" t="s">
        <v>809</v>
      </c>
      <c r="D107" s="5" t="s">
        <v>808</v>
      </c>
      <c r="E107" s="5" t="s">
        <v>533</v>
      </c>
      <c r="F107" s="5"/>
      <c r="G107" s="6">
        <f>G108</f>
        <v>97.1</v>
      </c>
      <c r="H107" s="6">
        <f>H108</f>
        <v>102</v>
      </c>
      <c r="I107" s="6">
        <f>I108</f>
        <v>106.6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32.25" customHeight="1">
      <c r="A108" s="53" t="s">
        <v>2</v>
      </c>
      <c r="B108" s="53"/>
      <c r="C108" s="5" t="s">
        <v>809</v>
      </c>
      <c r="D108" s="5" t="s">
        <v>808</v>
      </c>
      <c r="E108" s="5" t="s">
        <v>533</v>
      </c>
      <c r="F108" s="5" t="s">
        <v>527</v>
      </c>
      <c r="G108" s="6">
        <f>'прил.16'!G1029</f>
        <v>97.1</v>
      </c>
      <c r="H108" s="6">
        <f>'прил.16'!H1029</f>
        <v>102</v>
      </c>
      <c r="I108" s="6">
        <f>'прил.16'!I1029</f>
        <v>106.6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33" customHeight="1">
      <c r="A109" s="45" t="s">
        <v>659</v>
      </c>
      <c r="B109" s="45"/>
      <c r="C109" s="5" t="s">
        <v>809</v>
      </c>
      <c r="D109" s="5" t="s">
        <v>808</v>
      </c>
      <c r="E109" s="5" t="s">
        <v>534</v>
      </c>
      <c r="F109" s="5"/>
      <c r="G109" s="6">
        <f>G110</f>
        <v>658.9</v>
      </c>
      <c r="H109" s="6">
        <f>H110</f>
        <v>691.9</v>
      </c>
      <c r="I109" s="6">
        <f>I110</f>
        <v>723.1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8" customHeight="1">
      <c r="A110" s="45" t="s">
        <v>567</v>
      </c>
      <c r="B110" s="45"/>
      <c r="C110" s="5" t="s">
        <v>809</v>
      </c>
      <c r="D110" s="5" t="s">
        <v>808</v>
      </c>
      <c r="E110" s="5" t="s">
        <v>534</v>
      </c>
      <c r="F110" s="5" t="s">
        <v>68</v>
      </c>
      <c r="G110" s="6">
        <f>'прил.16'!G1031</f>
        <v>658.9</v>
      </c>
      <c r="H110" s="6">
        <f>'прил.16'!H1031</f>
        <v>691.9</v>
      </c>
      <c r="I110" s="6">
        <f>'прил.16'!I1031</f>
        <v>723.1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33.75" customHeight="1">
      <c r="A111" s="45" t="s">
        <v>660</v>
      </c>
      <c r="B111" s="45"/>
      <c r="C111" s="5" t="s">
        <v>809</v>
      </c>
      <c r="D111" s="5" t="s">
        <v>57</v>
      </c>
      <c r="E111" s="5"/>
      <c r="F111" s="5"/>
      <c r="G111" s="6">
        <f>G112+G117</f>
        <v>38341</v>
      </c>
      <c r="H111" s="6">
        <f>H112+H117</f>
        <v>34949</v>
      </c>
      <c r="I111" s="6">
        <f>I112+I117</f>
        <v>35379.4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6.5">
      <c r="A112" s="45" t="s">
        <v>661</v>
      </c>
      <c r="B112" s="45"/>
      <c r="C112" s="5" t="s">
        <v>809</v>
      </c>
      <c r="D112" s="5" t="s">
        <v>57</v>
      </c>
      <c r="E112" s="5" t="s">
        <v>402</v>
      </c>
      <c r="F112" s="5"/>
      <c r="G112" s="6">
        <f>G113+G115</f>
        <v>38062.6</v>
      </c>
      <c r="H112" s="6">
        <f>H113+H115</f>
        <v>34713</v>
      </c>
      <c r="I112" s="6">
        <f>I113+I115</f>
        <v>35020.4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6.5">
      <c r="A113" s="45" t="s">
        <v>593</v>
      </c>
      <c r="B113" s="45"/>
      <c r="C113" s="5" t="s">
        <v>809</v>
      </c>
      <c r="D113" s="5" t="s">
        <v>57</v>
      </c>
      <c r="E113" s="5" t="s">
        <v>495</v>
      </c>
      <c r="F113" s="5"/>
      <c r="G113" s="6">
        <f>G114</f>
        <v>370.9</v>
      </c>
      <c r="H113" s="6">
        <f>H114</f>
        <v>370.9</v>
      </c>
      <c r="I113" s="6">
        <f>I114</f>
        <v>370.9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6.5">
      <c r="A114" s="41" t="s">
        <v>13</v>
      </c>
      <c r="B114" s="130"/>
      <c r="C114" s="5" t="s">
        <v>809</v>
      </c>
      <c r="D114" s="5" t="s">
        <v>57</v>
      </c>
      <c r="E114" s="5" t="s">
        <v>495</v>
      </c>
      <c r="F114" s="5" t="s">
        <v>572</v>
      </c>
      <c r="G114" s="6">
        <f>'прил.16'!G71</f>
        <v>370.9</v>
      </c>
      <c r="H114" s="6">
        <f>'прил.16'!H71</f>
        <v>370.9</v>
      </c>
      <c r="I114" s="6">
        <f>'прил.16'!I71</f>
        <v>370.9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6.5">
      <c r="A115" s="45" t="s">
        <v>566</v>
      </c>
      <c r="B115" s="45"/>
      <c r="C115" s="5" t="s">
        <v>809</v>
      </c>
      <c r="D115" s="5" t="s">
        <v>57</v>
      </c>
      <c r="E115" s="5" t="s">
        <v>401</v>
      </c>
      <c r="F115" s="5"/>
      <c r="G115" s="6">
        <f>G116</f>
        <v>37691.7</v>
      </c>
      <c r="H115" s="6">
        <f>H116+'прил.16'!H865</f>
        <v>34342.1</v>
      </c>
      <c r="I115" s="6">
        <f>I116+'прил.16'!I865</f>
        <v>34649.5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6.5">
      <c r="A116" s="41" t="s">
        <v>13</v>
      </c>
      <c r="B116" s="130"/>
      <c r="C116" s="5" t="s">
        <v>809</v>
      </c>
      <c r="D116" s="5" t="s">
        <v>57</v>
      </c>
      <c r="E116" s="5" t="s">
        <v>401</v>
      </c>
      <c r="F116" s="5" t="s">
        <v>572</v>
      </c>
      <c r="G116" s="6">
        <f>'прил.16'!G73+'прил.16'!G865</f>
        <v>37691.7</v>
      </c>
      <c r="H116" s="6">
        <f>'прил.16'!H73+'прил.16'!H865</f>
        <v>34342.1</v>
      </c>
      <c r="I116" s="6">
        <f>'прил.16'!I73+'прил.16'!I865</f>
        <v>34649.5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9.5" customHeight="1">
      <c r="A117" s="45" t="s">
        <v>364</v>
      </c>
      <c r="B117" s="45"/>
      <c r="C117" s="5" t="s">
        <v>809</v>
      </c>
      <c r="D117" s="5" t="s">
        <v>57</v>
      </c>
      <c r="E117" s="43" t="s">
        <v>358</v>
      </c>
      <c r="F117" s="5"/>
      <c r="G117" s="6">
        <f>G119</f>
        <v>278.4</v>
      </c>
      <c r="H117" s="6">
        <f>H119</f>
        <v>236</v>
      </c>
      <c r="I117" s="6">
        <f>I119</f>
        <v>359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9.5" customHeight="1">
      <c r="A118" s="45" t="s">
        <v>394</v>
      </c>
      <c r="B118" s="45"/>
      <c r="C118" s="5" t="s">
        <v>809</v>
      </c>
      <c r="D118" s="5" t="s">
        <v>57</v>
      </c>
      <c r="E118" s="5" t="s">
        <v>359</v>
      </c>
      <c r="F118" s="5"/>
      <c r="G118" s="6">
        <f aca="true" t="shared" si="10" ref="G118:I119">G119</f>
        <v>278.4</v>
      </c>
      <c r="H118" s="6">
        <f t="shared" si="10"/>
        <v>236</v>
      </c>
      <c r="I118" s="6">
        <f t="shared" si="10"/>
        <v>359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9.5" customHeight="1">
      <c r="A119" s="45" t="s">
        <v>595</v>
      </c>
      <c r="B119" s="45"/>
      <c r="C119" s="5" t="s">
        <v>809</v>
      </c>
      <c r="D119" s="5" t="s">
        <v>57</v>
      </c>
      <c r="E119" s="5" t="s">
        <v>369</v>
      </c>
      <c r="F119" s="5"/>
      <c r="G119" s="6">
        <f t="shared" si="10"/>
        <v>278.4</v>
      </c>
      <c r="H119" s="6">
        <f t="shared" si="10"/>
        <v>236</v>
      </c>
      <c r="I119" s="6">
        <f t="shared" si="10"/>
        <v>359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8" customHeight="1">
      <c r="A120" s="41" t="s">
        <v>361</v>
      </c>
      <c r="B120" s="41"/>
      <c r="C120" s="5" t="s">
        <v>809</v>
      </c>
      <c r="D120" s="5" t="s">
        <v>57</v>
      </c>
      <c r="E120" s="5" t="s">
        <v>369</v>
      </c>
      <c r="F120" s="5" t="s">
        <v>214</v>
      </c>
      <c r="G120" s="6">
        <f>'прил.16'!G77</f>
        <v>278.4</v>
      </c>
      <c r="H120" s="6">
        <f>'прил.16'!H77</f>
        <v>236</v>
      </c>
      <c r="I120" s="6">
        <f>'прил.16'!I77</f>
        <v>359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36.75" customHeight="1" hidden="1">
      <c r="A121" s="20" t="s">
        <v>248</v>
      </c>
      <c r="B121" s="20"/>
      <c r="C121" s="5" t="s">
        <v>809</v>
      </c>
      <c r="D121" s="5" t="s">
        <v>571</v>
      </c>
      <c r="E121" s="5"/>
      <c r="F121" s="5"/>
      <c r="G121" s="6">
        <f aca="true" t="shared" si="11" ref="G121:I122">G122</f>
        <v>0</v>
      </c>
      <c r="H121" s="6">
        <f t="shared" si="11"/>
        <v>0</v>
      </c>
      <c r="I121" s="6">
        <f t="shared" si="11"/>
        <v>0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33" hidden="1">
      <c r="A122" s="20" t="s">
        <v>590</v>
      </c>
      <c r="B122" s="133"/>
      <c r="C122" s="5" t="s">
        <v>809</v>
      </c>
      <c r="D122" s="5" t="s">
        <v>571</v>
      </c>
      <c r="E122" s="5" t="s">
        <v>356</v>
      </c>
      <c r="F122" s="5"/>
      <c r="G122" s="6">
        <f t="shared" si="11"/>
        <v>0</v>
      </c>
      <c r="H122" s="6">
        <f t="shared" si="11"/>
        <v>0</v>
      </c>
      <c r="I122" s="6">
        <f t="shared" si="11"/>
        <v>0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6.5" hidden="1">
      <c r="A123" s="41" t="s">
        <v>361</v>
      </c>
      <c r="B123" s="41"/>
      <c r="C123" s="5" t="s">
        <v>809</v>
      </c>
      <c r="D123" s="5" t="s">
        <v>571</v>
      </c>
      <c r="E123" s="5" t="s">
        <v>356</v>
      </c>
      <c r="F123" s="5" t="s">
        <v>214</v>
      </c>
      <c r="G123" s="6">
        <f>'прил.16'!G80</f>
        <v>0</v>
      </c>
      <c r="H123" s="6">
        <f>'прил.16'!H80</f>
        <v>0</v>
      </c>
      <c r="I123" s="6">
        <f>'прил.16'!I80</f>
        <v>0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6.5">
      <c r="A124" s="45" t="s">
        <v>58</v>
      </c>
      <c r="B124" s="45"/>
      <c r="C124" s="5" t="s">
        <v>810</v>
      </c>
      <c r="D124" s="5"/>
      <c r="E124" s="5"/>
      <c r="F124" s="5"/>
      <c r="G124" s="6">
        <f>G125+G134+G138</f>
        <v>148281.90000000002</v>
      </c>
      <c r="H124" s="6">
        <f>H125+H134+H138</f>
        <v>126825.1</v>
      </c>
      <c r="I124" s="6">
        <f>I125+I134+I138</f>
        <v>124417.79999999999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7.25" customHeight="1" hidden="1">
      <c r="A125" s="42" t="s">
        <v>662</v>
      </c>
      <c r="B125" s="45"/>
      <c r="C125" s="5" t="s">
        <v>810</v>
      </c>
      <c r="D125" s="5" t="s">
        <v>807</v>
      </c>
      <c r="E125" s="134"/>
      <c r="F125" s="5"/>
      <c r="G125" s="6">
        <f>G126+G131</f>
        <v>1418.3</v>
      </c>
      <c r="H125" s="6">
        <f>H126+H131</f>
        <v>0</v>
      </c>
      <c r="I125" s="6">
        <f>I126+I131</f>
        <v>0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7.25" customHeight="1" hidden="1">
      <c r="A126" s="42" t="s">
        <v>775</v>
      </c>
      <c r="B126" s="45"/>
      <c r="C126" s="5" t="s">
        <v>810</v>
      </c>
      <c r="D126" s="5" t="s">
        <v>807</v>
      </c>
      <c r="E126" s="134" t="s">
        <v>774</v>
      </c>
      <c r="F126" s="5"/>
      <c r="G126" s="6">
        <f>G127+G129</f>
        <v>1418.3</v>
      </c>
      <c r="H126" s="6">
        <f>H127+H129</f>
        <v>0</v>
      </c>
      <c r="I126" s="6">
        <f>I127+I129</f>
        <v>0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36.75" customHeight="1" hidden="1">
      <c r="A127" s="42" t="s">
        <v>777</v>
      </c>
      <c r="B127" s="45"/>
      <c r="C127" s="5" t="s">
        <v>810</v>
      </c>
      <c r="D127" s="5" t="s">
        <v>807</v>
      </c>
      <c r="E127" s="134" t="s">
        <v>776</v>
      </c>
      <c r="F127" s="5"/>
      <c r="G127" s="6">
        <f>G128</f>
        <v>1418.3</v>
      </c>
      <c r="H127" s="6">
        <f>H128</f>
        <v>0</v>
      </c>
      <c r="I127" s="6">
        <f>I128</f>
        <v>0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7.25" customHeight="1" hidden="1">
      <c r="A128" s="41" t="s">
        <v>13</v>
      </c>
      <c r="B128" s="45"/>
      <c r="C128" s="5" t="s">
        <v>810</v>
      </c>
      <c r="D128" s="5" t="s">
        <v>807</v>
      </c>
      <c r="E128" s="134" t="s">
        <v>776</v>
      </c>
      <c r="F128" s="5" t="s">
        <v>572</v>
      </c>
      <c r="G128" s="6">
        <f>'прил.16'!G85+'прил.16'!G255+'прил.16'!G273+'прил.16'!G407+'прил.16'!G523+'прил.16'!G549+'прил.16'!G638+'прил.16'!G710</f>
        <v>1418.3</v>
      </c>
      <c r="H128" s="6">
        <f>'прил.16'!H85+'прил.16'!H255+'прил.16'!H273+'прил.16'!H407+'прил.16'!H523+'прил.16'!H549+'прил.16'!H638+'прил.16'!H710</f>
        <v>0</v>
      </c>
      <c r="I128" s="6">
        <f>'прил.16'!I85+'прил.16'!I255+'прил.16'!I273+'прил.16'!I407+'прил.16'!I523+'прил.16'!I549+'прил.16'!I638+'прил.16'!I710</f>
        <v>0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37.5" customHeight="1" hidden="1">
      <c r="A129" s="41" t="s">
        <v>597</v>
      </c>
      <c r="B129" s="45"/>
      <c r="C129" s="5" t="s">
        <v>810</v>
      </c>
      <c r="D129" s="5" t="s">
        <v>807</v>
      </c>
      <c r="E129" s="5" t="s">
        <v>596</v>
      </c>
      <c r="F129" s="5"/>
      <c r="G129" s="6">
        <f>G130</f>
        <v>0</v>
      </c>
      <c r="H129" s="6">
        <f>H130</f>
        <v>0</v>
      </c>
      <c r="I129" s="6">
        <f>I130</f>
        <v>0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7.25" customHeight="1" hidden="1">
      <c r="A130" s="41" t="s">
        <v>13</v>
      </c>
      <c r="B130" s="45"/>
      <c r="C130" s="5" t="s">
        <v>810</v>
      </c>
      <c r="D130" s="5" t="s">
        <v>807</v>
      </c>
      <c r="E130" s="5" t="s">
        <v>596</v>
      </c>
      <c r="F130" s="5" t="s">
        <v>572</v>
      </c>
      <c r="G130" s="6">
        <f>'прил.16'!G87+'прил.16'!G167+'прил.16'!G275+'прил.16'!G409+'прил.16'!G525+'прил.16'!G551+'прил.16'!G640+'прил.16'!G712+'прил.16'!G816</f>
        <v>0</v>
      </c>
      <c r="H130" s="6">
        <f>'прил.16'!H87+'прил.16'!H167+'прил.16'!H275+'прил.16'!H409+'прил.16'!H525+'прил.16'!H551+'прил.16'!H640+'прил.16'!H712+'прил.16'!H816</f>
        <v>0</v>
      </c>
      <c r="I130" s="6">
        <f>'прил.16'!I87+'прил.16'!I167+'прил.16'!I275+'прил.16'!I409+'прил.16'!I525+'прил.16'!I551+'прил.16'!I640+'прил.16'!I712+'прил.16'!I816</f>
        <v>0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7.25" customHeight="1" hidden="1">
      <c r="A131" s="41" t="s">
        <v>297</v>
      </c>
      <c r="B131" s="45"/>
      <c r="C131" s="5" t="s">
        <v>810</v>
      </c>
      <c r="D131" s="5" t="s">
        <v>807</v>
      </c>
      <c r="E131" s="5" t="s">
        <v>395</v>
      </c>
      <c r="F131" s="5"/>
      <c r="G131" s="6">
        <f aca="true" t="shared" si="12" ref="G131:I132">G132</f>
        <v>0</v>
      </c>
      <c r="H131" s="6">
        <f t="shared" si="12"/>
        <v>0</v>
      </c>
      <c r="I131" s="6">
        <f t="shared" si="12"/>
        <v>0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52.5" customHeight="1" hidden="1">
      <c r="A132" s="41" t="s">
        <v>598</v>
      </c>
      <c r="B132" s="45"/>
      <c r="C132" s="5" t="s">
        <v>810</v>
      </c>
      <c r="D132" s="5" t="s">
        <v>807</v>
      </c>
      <c r="E132" s="5" t="s">
        <v>601</v>
      </c>
      <c r="F132" s="5"/>
      <c r="G132" s="6">
        <f t="shared" si="12"/>
        <v>0</v>
      </c>
      <c r="H132" s="6">
        <f t="shared" si="12"/>
        <v>0</v>
      </c>
      <c r="I132" s="6">
        <f t="shared" si="12"/>
        <v>0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7.25" customHeight="1" hidden="1">
      <c r="A133" s="41" t="s">
        <v>13</v>
      </c>
      <c r="B133" s="45"/>
      <c r="C133" s="5" t="s">
        <v>810</v>
      </c>
      <c r="D133" s="5" t="s">
        <v>807</v>
      </c>
      <c r="E133" s="5" t="s">
        <v>601</v>
      </c>
      <c r="F133" s="5" t="s">
        <v>572</v>
      </c>
      <c r="G133" s="48">
        <f>'прил.16'!G90+'прил.16'!G170+'прил.16'!G278+'прил.16'!G412+'прил.16'!G528+'прил.16'!G554+'прил.16'!G643+'прил.16'!G715+'прил.16'!G819</f>
        <v>0</v>
      </c>
      <c r="H133" s="48">
        <f>'прил.16'!H90+'прил.16'!H170+'прил.16'!H278+'прил.16'!H412+'прил.16'!H528+'прил.16'!H554+'прил.16'!H643+'прил.16'!H715+'прил.16'!H819</f>
        <v>0</v>
      </c>
      <c r="I133" s="48">
        <f>'прил.16'!I90+'прил.16'!I170+'прил.16'!I278+'прил.16'!I412+'прил.16'!I528+'прил.16'!I554+'прил.16'!I643+'прил.16'!I715+'прил.16'!I819</f>
        <v>0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6.5">
      <c r="A134" s="45" t="s">
        <v>663</v>
      </c>
      <c r="B134" s="45"/>
      <c r="C134" s="5" t="s">
        <v>810</v>
      </c>
      <c r="D134" s="5" t="s">
        <v>492</v>
      </c>
      <c r="E134" s="5"/>
      <c r="F134" s="5"/>
      <c r="G134" s="6">
        <f>G135</f>
        <v>45290</v>
      </c>
      <c r="H134" s="6">
        <f aca="true" t="shared" si="13" ref="H134:I136">H135</f>
        <v>33992.6</v>
      </c>
      <c r="I134" s="6">
        <f t="shared" si="13"/>
        <v>34376.9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25" customFormat="1" ht="16.5">
      <c r="A135" s="45" t="s">
        <v>664</v>
      </c>
      <c r="B135" s="45"/>
      <c r="C135" s="5" t="s">
        <v>810</v>
      </c>
      <c r="D135" s="5" t="s">
        <v>492</v>
      </c>
      <c r="E135" s="5" t="s">
        <v>199</v>
      </c>
      <c r="F135" s="5"/>
      <c r="G135" s="6">
        <f>G136</f>
        <v>45290</v>
      </c>
      <c r="H135" s="6">
        <f t="shared" si="13"/>
        <v>33992.6</v>
      </c>
      <c r="I135" s="6">
        <f t="shared" si="13"/>
        <v>34376.9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27" customFormat="1" ht="18" customHeight="1">
      <c r="A136" s="45" t="s">
        <v>566</v>
      </c>
      <c r="B136" s="45"/>
      <c r="C136" s="5" t="s">
        <v>810</v>
      </c>
      <c r="D136" s="5" t="s">
        <v>492</v>
      </c>
      <c r="E136" s="5" t="s">
        <v>200</v>
      </c>
      <c r="F136" s="5"/>
      <c r="G136" s="6">
        <f>G137</f>
        <v>45290</v>
      </c>
      <c r="H136" s="6">
        <f t="shared" si="13"/>
        <v>33992.6</v>
      </c>
      <c r="I136" s="6">
        <f t="shared" si="13"/>
        <v>34376.9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26" customFormat="1" ht="18.75" customHeight="1">
      <c r="A137" s="41" t="s">
        <v>13</v>
      </c>
      <c r="B137" s="130"/>
      <c r="C137" s="5" t="s">
        <v>810</v>
      </c>
      <c r="D137" s="5" t="s">
        <v>492</v>
      </c>
      <c r="E137" s="5" t="s">
        <v>200</v>
      </c>
      <c r="F137" s="5" t="s">
        <v>572</v>
      </c>
      <c r="G137" s="6">
        <f>'прил.16'!G94</f>
        <v>45290</v>
      </c>
      <c r="H137" s="6">
        <f>'прил.16'!H94</f>
        <v>33992.6</v>
      </c>
      <c r="I137" s="6">
        <f>'прил.16'!I94</f>
        <v>34376.9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8" customHeight="1">
      <c r="A138" s="45" t="s">
        <v>433</v>
      </c>
      <c r="B138" s="45"/>
      <c r="C138" s="5" t="s">
        <v>810</v>
      </c>
      <c r="D138" s="5" t="s">
        <v>530</v>
      </c>
      <c r="E138" s="5"/>
      <c r="F138" s="5"/>
      <c r="G138" s="6">
        <f>G139+G146+G151+G142</f>
        <v>101573.6</v>
      </c>
      <c r="H138" s="6">
        <f>H139+H146+H151</f>
        <v>92832.5</v>
      </c>
      <c r="I138" s="6">
        <f>I139+I146+I151</f>
        <v>90040.9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36" customHeight="1">
      <c r="A139" s="41" t="s">
        <v>42</v>
      </c>
      <c r="B139" s="45"/>
      <c r="C139" s="5" t="s">
        <v>810</v>
      </c>
      <c r="D139" s="5" t="s">
        <v>530</v>
      </c>
      <c r="E139" s="5" t="s">
        <v>43</v>
      </c>
      <c r="F139" s="5"/>
      <c r="G139" s="6">
        <f aca="true" t="shared" si="14" ref="G139:I140">G140</f>
        <v>64780.4</v>
      </c>
      <c r="H139" s="6">
        <f t="shared" si="14"/>
        <v>64643.200000000004</v>
      </c>
      <c r="I139" s="6">
        <f t="shared" si="14"/>
        <v>64689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6.5">
      <c r="A140" s="41" t="s">
        <v>589</v>
      </c>
      <c r="B140" s="131"/>
      <c r="C140" s="5" t="s">
        <v>810</v>
      </c>
      <c r="D140" s="5" t="s">
        <v>530</v>
      </c>
      <c r="E140" s="5" t="s">
        <v>45</v>
      </c>
      <c r="F140" s="5"/>
      <c r="G140" s="6">
        <f t="shared" si="14"/>
        <v>64780.4</v>
      </c>
      <c r="H140" s="6">
        <f t="shared" si="14"/>
        <v>64643.200000000004</v>
      </c>
      <c r="I140" s="6">
        <f t="shared" si="14"/>
        <v>64689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6.5">
      <c r="A141" s="41" t="s">
        <v>361</v>
      </c>
      <c r="B141" s="41"/>
      <c r="C141" s="5" t="s">
        <v>810</v>
      </c>
      <c r="D141" s="5" t="s">
        <v>530</v>
      </c>
      <c r="E141" s="5" t="s">
        <v>45</v>
      </c>
      <c r="F141" s="5" t="s">
        <v>214</v>
      </c>
      <c r="G141" s="6">
        <f>'прил.16'!G259+'прил.16'!G805+'прил.16'!G843</f>
        <v>64780.4</v>
      </c>
      <c r="H141" s="6">
        <f>'прил.16'!H259+'прил.16'!H805+'прил.16'!H843</f>
        <v>64643.200000000004</v>
      </c>
      <c r="I141" s="6">
        <f>'прил.16'!I259+'прил.16'!I805+'прил.16'!I843</f>
        <v>64689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33" hidden="1">
      <c r="A142" s="41" t="s">
        <v>665</v>
      </c>
      <c r="B142" s="41"/>
      <c r="C142" s="5" t="s">
        <v>810</v>
      </c>
      <c r="D142" s="5" t="s">
        <v>530</v>
      </c>
      <c r="E142" s="5" t="s">
        <v>406</v>
      </c>
      <c r="F142" s="5"/>
      <c r="G142" s="6">
        <f aca="true" t="shared" si="15" ref="G142:I144">G143</f>
        <v>12000</v>
      </c>
      <c r="H142" s="6">
        <f t="shared" si="15"/>
        <v>0</v>
      </c>
      <c r="I142" s="6">
        <f t="shared" si="15"/>
        <v>0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6.5" hidden="1">
      <c r="A143" s="41" t="s">
        <v>769</v>
      </c>
      <c r="B143" s="41"/>
      <c r="C143" s="5" t="s">
        <v>810</v>
      </c>
      <c r="D143" s="5" t="s">
        <v>530</v>
      </c>
      <c r="E143" s="5" t="s">
        <v>817</v>
      </c>
      <c r="F143" s="5"/>
      <c r="G143" s="6">
        <f t="shared" si="15"/>
        <v>12000</v>
      </c>
      <c r="H143" s="6">
        <f t="shared" si="15"/>
        <v>0</v>
      </c>
      <c r="I143" s="6">
        <f t="shared" si="15"/>
        <v>0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6.5" hidden="1">
      <c r="A144" s="41" t="s">
        <v>666</v>
      </c>
      <c r="B144" s="41"/>
      <c r="C144" s="5" t="s">
        <v>810</v>
      </c>
      <c r="D144" s="5" t="s">
        <v>530</v>
      </c>
      <c r="E144" s="5" t="s">
        <v>820</v>
      </c>
      <c r="F144" s="5"/>
      <c r="G144" s="6">
        <f t="shared" si="15"/>
        <v>12000</v>
      </c>
      <c r="H144" s="6">
        <f t="shared" si="15"/>
        <v>0</v>
      </c>
      <c r="I144" s="6">
        <f t="shared" si="15"/>
        <v>0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6.5" hidden="1">
      <c r="A145" s="20" t="s">
        <v>206</v>
      </c>
      <c r="B145" s="41"/>
      <c r="C145" s="5" t="s">
        <v>810</v>
      </c>
      <c r="D145" s="5" t="s">
        <v>530</v>
      </c>
      <c r="E145" s="5" t="s">
        <v>820</v>
      </c>
      <c r="F145" s="5" t="s">
        <v>4</v>
      </c>
      <c r="G145" s="6">
        <f>'прил.16'!G917</f>
        <v>12000</v>
      </c>
      <c r="H145" s="6">
        <f>'прил.16'!H917</f>
        <v>0</v>
      </c>
      <c r="I145" s="6">
        <f>'прил.16'!I917</f>
        <v>0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8" customHeight="1">
      <c r="A146" s="45" t="s">
        <v>667</v>
      </c>
      <c r="B146" s="45"/>
      <c r="C146" s="5" t="s">
        <v>810</v>
      </c>
      <c r="D146" s="5" t="s">
        <v>530</v>
      </c>
      <c r="E146" s="5" t="s">
        <v>434</v>
      </c>
      <c r="F146" s="5"/>
      <c r="G146" s="6">
        <f>G147+G149</f>
        <v>10320.7</v>
      </c>
      <c r="H146" s="6">
        <f>H147+H149</f>
        <v>10336.8</v>
      </c>
      <c r="I146" s="6">
        <f>I147+I149</f>
        <v>10351.9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6.5">
      <c r="A147" s="20" t="s">
        <v>454</v>
      </c>
      <c r="B147" s="20"/>
      <c r="C147" s="5" t="s">
        <v>810</v>
      </c>
      <c r="D147" s="5" t="s">
        <v>530</v>
      </c>
      <c r="E147" s="5" t="s">
        <v>455</v>
      </c>
      <c r="F147" s="5"/>
      <c r="G147" s="6">
        <f>G148</f>
        <v>10320.7</v>
      </c>
      <c r="H147" s="6">
        <f>H148</f>
        <v>10336.8</v>
      </c>
      <c r="I147" s="6">
        <f>I148</f>
        <v>10351.9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8" customHeight="1">
      <c r="A148" s="41" t="s">
        <v>361</v>
      </c>
      <c r="B148" s="41"/>
      <c r="C148" s="5" t="s">
        <v>810</v>
      </c>
      <c r="D148" s="5" t="s">
        <v>530</v>
      </c>
      <c r="E148" s="5" t="s">
        <v>455</v>
      </c>
      <c r="F148" s="5" t="s">
        <v>214</v>
      </c>
      <c r="G148" s="6">
        <f>'прил.16'!G808+'прил.16'!G186+'прил.16'!G262</f>
        <v>10320.7</v>
      </c>
      <c r="H148" s="6">
        <f>'прил.16'!H808+'прил.16'!H186+'прил.16'!H262</f>
        <v>10336.8</v>
      </c>
      <c r="I148" s="6">
        <f>'прил.16'!I808+'прил.16'!I186+'прил.16'!I262</f>
        <v>10351.9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34.5" customHeight="1" hidden="1">
      <c r="A149" s="41" t="s">
        <v>295</v>
      </c>
      <c r="B149" s="39">
        <v>811</v>
      </c>
      <c r="C149" s="5" t="s">
        <v>810</v>
      </c>
      <c r="D149" s="5" t="s">
        <v>530</v>
      </c>
      <c r="E149" s="5" t="s">
        <v>280</v>
      </c>
      <c r="F149" s="5"/>
      <c r="G149" s="6">
        <f>G150</f>
        <v>0</v>
      </c>
      <c r="H149" s="6">
        <f>H150</f>
        <v>0</v>
      </c>
      <c r="I149" s="6">
        <f>I150</f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8" customHeight="1" hidden="1">
      <c r="A150" s="20" t="s">
        <v>206</v>
      </c>
      <c r="B150" s="39">
        <v>811</v>
      </c>
      <c r="C150" s="5" t="s">
        <v>810</v>
      </c>
      <c r="D150" s="5" t="s">
        <v>530</v>
      </c>
      <c r="E150" s="5" t="s">
        <v>280</v>
      </c>
      <c r="F150" s="5" t="s">
        <v>4</v>
      </c>
      <c r="G150" s="6">
        <f>'прил.16'!G810</f>
        <v>0</v>
      </c>
      <c r="H150" s="6">
        <f>'прил.16'!H810</f>
        <v>0</v>
      </c>
      <c r="I150" s="6">
        <f>'прил.16'!I810</f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8" customHeight="1">
      <c r="A151" s="45" t="s">
        <v>364</v>
      </c>
      <c r="B151" s="39"/>
      <c r="C151" s="5" t="s">
        <v>810</v>
      </c>
      <c r="D151" s="5" t="s">
        <v>530</v>
      </c>
      <c r="E151" s="5" t="s">
        <v>358</v>
      </c>
      <c r="F151" s="5"/>
      <c r="G151" s="6">
        <f>G152</f>
        <v>14472.5</v>
      </c>
      <c r="H151" s="6">
        <f>H152</f>
        <v>17852.5</v>
      </c>
      <c r="I151" s="6">
        <f>I152</f>
        <v>15000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8" customHeight="1">
      <c r="A152" s="45" t="s">
        <v>394</v>
      </c>
      <c r="B152" s="39"/>
      <c r="C152" s="5" t="s">
        <v>810</v>
      </c>
      <c r="D152" s="5" t="s">
        <v>530</v>
      </c>
      <c r="E152" s="5" t="s">
        <v>359</v>
      </c>
      <c r="F152" s="5"/>
      <c r="G152" s="6">
        <f>G153+G155</f>
        <v>14472.5</v>
      </c>
      <c r="H152" s="6">
        <f>H153+H155</f>
        <v>17852.5</v>
      </c>
      <c r="I152" s="6">
        <f>I153+I155</f>
        <v>15000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36" customHeight="1">
      <c r="A153" s="41" t="s">
        <v>330</v>
      </c>
      <c r="B153" s="39"/>
      <c r="C153" s="5" t="s">
        <v>810</v>
      </c>
      <c r="D153" s="5" t="s">
        <v>530</v>
      </c>
      <c r="E153" s="5" t="s">
        <v>374</v>
      </c>
      <c r="F153" s="5"/>
      <c r="G153" s="6">
        <f>G154</f>
        <v>2472.5</v>
      </c>
      <c r="H153" s="6">
        <f>H154</f>
        <v>2852.5</v>
      </c>
      <c r="I153" s="6">
        <f>I154</f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6.5">
      <c r="A154" s="45" t="s">
        <v>668</v>
      </c>
      <c r="B154" s="39"/>
      <c r="C154" s="5" t="s">
        <v>810</v>
      </c>
      <c r="D154" s="5" t="s">
        <v>530</v>
      </c>
      <c r="E154" s="5" t="s">
        <v>374</v>
      </c>
      <c r="F154" s="5" t="s">
        <v>257</v>
      </c>
      <c r="G154" s="6">
        <f>'прил.16'!G99</f>
        <v>2472.5</v>
      </c>
      <c r="H154" s="6">
        <f>'прил.16'!H99</f>
        <v>2852.5</v>
      </c>
      <c r="I154" s="6">
        <f>'прил.16'!I99</f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6.5">
      <c r="A155" s="45" t="s">
        <v>372</v>
      </c>
      <c r="B155" s="39"/>
      <c r="C155" s="5" t="s">
        <v>810</v>
      </c>
      <c r="D155" s="5" t="s">
        <v>530</v>
      </c>
      <c r="E155" s="39" t="s">
        <v>376</v>
      </c>
      <c r="F155" s="5"/>
      <c r="G155" s="6">
        <f>G156</f>
        <v>12000</v>
      </c>
      <c r="H155" s="6">
        <f>H156</f>
        <v>15000</v>
      </c>
      <c r="I155" s="6">
        <f>I156</f>
        <v>15000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6.5">
      <c r="A156" s="45" t="s">
        <v>668</v>
      </c>
      <c r="B156" s="39"/>
      <c r="C156" s="5" t="s">
        <v>810</v>
      </c>
      <c r="D156" s="5" t="s">
        <v>530</v>
      </c>
      <c r="E156" s="39" t="s">
        <v>376</v>
      </c>
      <c r="F156" s="5" t="s">
        <v>257</v>
      </c>
      <c r="G156" s="6">
        <f>'прил.16'!G101</f>
        <v>12000</v>
      </c>
      <c r="H156" s="6">
        <f>'прил.16'!H101</f>
        <v>15000</v>
      </c>
      <c r="I156" s="6">
        <f>'прил.16'!I101</f>
        <v>15000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25" customFormat="1" ht="16.5">
      <c r="A157" s="45" t="s">
        <v>63</v>
      </c>
      <c r="B157" s="45"/>
      <c r="C157" s="5" t="s">
        <v>59</v>
      </c>
      <c r="D157" s="5"/>
      <c r="E157" s="5"/>
      <c r="F157" s="5"/>
      <c r="G157" s="6">
        <f>G158+G184+G208+G247</f>
        <v>1227383.7</v>
      </c>
      <c r="H157" s="6">
        <f>H158+H184+H208+H247</f>
        <v>957131.8999999999</v>
      </c>
      <c r="I157" s="6">
        <f>I158+I184+I208+I247</f>
        <v>570664.0999999999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26" customFormat="1" ht="16.5">
      <c r="A158" s="45" t="s">
        <v>169</v>
      </c>
      <c r="B158" s="45"/>
      <c r="C158" s="5" t="s">
        <v>59</v>
      </c>
      <c r="D158" s="5" t="s">
        <v>807</v>
      </c>
      <c r="E158" s="5"/>
      <c r="F158" s="5"/>
      <c r="G158" s="6">
        <f>G159+G165+G173</f>
        <v>54739.1</v>
      </c>
      <c r="H158" s="6">
        <f>H159+H165+H173</f>
        <v>3834.2</v>
      </c>
      <c r="I158" s="6">
        <f>I159+I165+I173</f>
        <v>3834.2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36" customHeight="1" hidden="1">
      <c r="A159" s="45" t="s">
        <v>669</v>
      </c>
      <c r="B159" s="135"/>
      <c r="C159" s="5" t="s">
        <v>818</v>
      </c>
      <c r="D159" s="5" t="s">
        <v>807</v>
      </c>
      <c r="E159" s="5" t="s">
        <v>136</v>
      </c>
      <c r="F159" s="5"/>
      <c r="G159" s="6">
        <f>G160+G162</f>
        <v>29000</v>
      </c>
      <c r="H159" s="6">
        <f>H160+H162</f>
        <v>0</v>
      </c>
      <c r="I159" s="6">
        <f>I160+I162</f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49.5" hidden="1">
      <c r="A160" s="45" t="s">
        <v>126</v>
      </c>
      <c r="B160" s="45"/>
      <c r="C160" s="5" t="s">
        <v>414</v>
      </c>
      <c r="D160" s="5" t="s">
        <v>807</v>
      </c>
      <c r="E160" s="5" t="s">
        <v>565</v>
      </c>
      <c r="F160" s="5"/>
      <c r="G160" s="6">
        <f>G161</f>
        <v>0</v>
      </c>
      <c r="H160" s="6">
        <f>H161</f>
        <v>0</v>
      </c>
      <c r="I160" s="6">
        <f>I161</f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6.5" hidden="1">
      <c r="A161" s="20" t="s">
        <v>569</v>
      </c>
      <c r="B161" s="136"/>
      <c r="C161" s="5" t="s">
        <v>414</v>
      </c>
      <c r="D161" s="5" t="s">
        <v>807</v>
      </c>
      <c r="E161" s="137" t="s">
        <v>565</v>
      </c>
      <c r="F161" s="5" t="s">
        <v>271</v>
      </c>
      <c r="G161" s="6">
        <f>'прил.16'!G191</f>
        <v>0</v>
      </c>
      <c r="H161" s="6">
        <f>'прил.16'!H191</f>
        <v>0</v>
      </c>
      <c r="I161" s="6">
        <f>'прил.16'!I191</f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50.25" customHeight="1" hidden="1">
      <c r="A162" s="45" t="s">
        <v>670</v>
      </c>
      <c r="B162" s="135"/>
      <c r="C162" s="5" t="s">
        <v>818</v>
      </c>
      <c r="D162" s="5" t="s">
        <v>807</v>
      </c>
      <c r="E162" s="5" t="s">
        <v>281</v>
      </c>
      <c r="F162" s="5"/>
      <c r="G162" s="6">
        <f aca="true" t="shared" si="16" ref="G162:I163">G163</f>
        <v>29000</v>
      </c>
      <c r="H162" s="6">
        <f t="shared" si="16"/>
        <v>0</v>
      </c>
      <c r="I162" s="6">
        <f t="shared" si="16"/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35.25" customHeight="1" hidden="1">
      <c r="A163" s="45" t="s">
        <v>245</v>
      </c>
      <c r="B163" s="45"/>
      <c r="C163" s="5" t="s">
        <v>818</v>
      </c>
      <c r="D163" s="5" t="s">
        <v>807</v>
      </c>
      <c r="E163" s="5" t="s">
        <v>138</v>
      </c>
      <c r="F163" s="5"/>
      <c r="G163" s="6">
        <f t="shared" si="16"/>
        <v>29000</v>
      </c>
      <c r="H163" s="6">
        <f t="shared" si="16"/>
        <v>0</v>
      </c>
      <c r="I163" s="6">
        <f t="shared" si="16"/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6.5" hidden="1">
      <c r="A164" s="20" t="s">
        <v>671</v>
      </c>
      <c r="B164" s="20"/>
      <c r="C164" s="5" t="s">
        <v>818</v>
      </c>
      <c r="D164" s="5" t="s">
        <v>807</v>
      </c>
      <c r="E164" s="137" t="s">
        <v>138</v>
      </c>
      <c r="F164" s="5" t="s">
        <v>271</v>
      </c>
      <c r="G164" s="6">
        <f>'прил.16'!G194</f>
        <v>29000</v>
      </c>
      <c r="H164" s="6">
        <f>'прил.16'!H194</f>
        <v>0</v>
      </c>
      <c r="I164" s="6">
        <f>'прил.16'!I194</f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6.5" hidden="1">
      <c r="A165" s="20" t="s">
        <v>128</v>
      </c>
      <c r="B165" s="20"/>
      <c r="C165" s="5" t="s">
        <v>59</v>
      </c>
      <c r="D165" s="5" t="s">
        <v>807</v>
      </c>
      <c r="E165" s="137" t="s">
        <v>406</v>
      </c>
      <c r="F165" s="5"/>
      <c r="G165" s="6">
        <f>G166+G170</f>
        <v>0</v>
      </c>
      <c r="H165" s="6">
        <f>H166+H170</f>
        <v>0</v>
      </c>
      <c r="I165" s="6">
        <f>I166+I170</f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52.5" customHeight="1" hidden="1">
      <c r="A166" s="20" t="s">
        <v>74</v>
      </c>
      <c r="B166" s="39">
        <v>803</v>
      </c>
      <c r="C166" s="5" t="s">
        <v>59</v>
      </c>
      <c r="D166" s="5" t="s">
        <v>807</v>
      </c>
      <c r="E166" s="5" t="s">
        <v>71</v>
      </c>
      <c r="F166" s="5"/>
      <c r="G166" s="6">
        <f>G167</f>
        <v>0</v>
      </c>
      <c r="H166" s="6">
        <f>H167</f>
        <v>0</v>
      </c>
      <c r="I166" s="6">
        <f>I167</f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33" hidden="1">
      <c r="A167" s="41" t="s">
        <v>205</v>
      </c>
      <c r="B167" s="39">
        <v>803</v>
      </c>
      <c r="C167" s="5" t="s">
        <v>59</v>
      </c>
      <c r="D167" s="5" t="s">
        <v>807</v>
      </c>
      <c r="E167" s="5" t="s">
        <v>408</v>
      </c>
      <c r="F167" s="5"/>
      <c r="G167" s="6">
        <f>SUM(G168:G169)</f>
        <v>0</v>
      </c>
      <c r="H167" s="6">
        <f>SUM(H168:H169)</f>
        <v>0</v>
      </c>
      <c r="I167" s="6">
        <f>SUM(I168:I169)</f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6.5" hidden="1">
      <c r="A168" s="41" t="s">
        <v>591</v>
      </c>
      <c r="B168" s="39">
        <v>841</v>
      </c>
      <c r="C168" s="5" t="s">
        <v>59</v>
      </c>
      <c r="D168" s="5" t="s">
        <v>807</v>
      </c>
      <c r="E168" s="137" t="s">
        <v>408</v>
      </c>
      <c r="F168" s="5" t="s">
        <v>76</v>
      </c>
      <c r="G168" s="6">
        <f>'прил.16'!G923</f>
        <v>0</v>
      </c>
      <c r="H168" s="6">
        <f>'прил.16'!H923</f>
        <v>0</v>
      </c>
      <c r="I168" s="6">
        <f>'прил.16'!I923</f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.75" customHeight="1" hidden="1">
      <c r="A169" s="41" t="s">
        <v>77</v>
      </c>
      <c r="B169" s="39">
        <v>841</v>
      </c>
      <c r="C169" s="5" t="s">
        <v>59</v>
      </c>
      <c r="D169" s="5" t="s">
        <v>807</v>
      </c>
      <c r="E169" s="137" t="s">
        <v>408</v>
      </c>
      <c r="F169" s="5" t="s">
        <v>78</v>
      </c>
      <c r="G169" s="6">
        <f>'прил.16'!G924</f>
        <v>0</v>
      </c>
      <c r="H169" s="6">
        <f>'прил.16'!H924</f>
        <v>0</v>
      </c>
      <c r="I169" s="6">
        <f>'прил.16'!I924</f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.75" customHeight="1" hidden="1">
      <c r="A170" s="41" t="s">
        <v>128</v>
      </c>
      <c r="B170" s="39">
        <v>841</v>
      </c>
      <c r="C170" s="5" t="s">
        <v>59</v>
      </c>
      <c r="D170" s="5" t="s">
        <v>807</v>
      </c>
      <c r="E170" s="137" t="s">
        <v>817</v>
      </c>
      <c r="F170" s="5"/>
      <c r="G170" s="6">
        <f aca="true" t="shared" si="17" ref="G170:I171">G171</f>
        <v>0</v>
      </c>
      <c r="H170" s="6">
        <f t="shared" si="17"/>
        <v>0</v>
      </c>
      <c r="I170" s="6">
        <f t="shared" si="17"/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.75" customHeight="1" hidden="1">
      <c r="A171" s="41" t="s">
        <v>769</v>
      </c>
      <c r="B171" s="39"/>
      <c r="C171" s="5" t="s">
        <v>59</v>
      </c>
      <c r="D171" s="5" t="s">
        <v>807</v>
      </c>
      <c r="E171" s="137" t="s">
        <v>820</v>
      </c>
      <c r="F171" s="5"/>
      <c r="G171" s="6">
        <f t="shared" si="17"/>
        <v>0</v>
      </c>
      <c r="H171" s="6">
        <f t="shared" si="17"/>
        <v>0</v>
      </c>
      <c r="I171" s="6">
        <f t="shared" si="17"/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.75" customHeight="1" hidden="1">
      <c r="A172" s="41" t="s">
        <v>283</v>
      </c>
      <c r="B172" s="39"/>
      <c r="C172" s="5" t="s">
        <v>59</v>
      </c>
      <c r="D172" s="5" t="s">
        <v>807</v>
      </c>
      <c r="E172" s="137" t="s">
        <v>820</v>
      </c>
      <c r="F172" s="5" t="s">
        <v>4</v>
      </c>
      <c r="G172" s="6">
        <f>'прил.16'!G931</f>
        <v>0</v>
      </c>
      <c r="H172" s="6">
        <f>'прил.16'!H931</f>
        <v>0</v>
      </c>
      <c r="I172" s="6">
        <f>'прил.16'!I931</f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6.5">
      <c r="A173" s="45" t="s">
        <v>672</v>
      </c>
      <c r="B173" s="45"/>
      <c r="C173" s="5" t="s">
        <v>59</v>
      </c>
      <c r="D173" s="5" t="s">
        <v>807</v>
      </c>
      <c r="E173" s="137" t="s">
        <v>410</v>
      </c>
      <c r="F173" s="5"/>
      <c r="G173" s="6">
        <f>G174+G177+G179+G182</f>
        <v>25739.1</v>
      </c>
      <c r="H173" s="6">
        <f>H174+H177+H179+H182</f>
        <v>3834.2</v>
      </c>
      <c r="I173" s="6">
        <f>I174+I177+I179+I182</f>
        <v>3834.2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6.5" hidden="1">
      <c r="A174" s="45" t="s">
        <v>127</v>
      </c>
      <c r="B174" s="45"/>
      <c r="C174" s="5" t="s">
        <v>59</v>
      </c>
      <c r="D174" s="5" t="s">
        <v>807</v>
      </c>
      <c r="E174" s="137" t="s">
        <v>409</v>
      </c>
      <c r="F174" s="5"/>
      <c r="G174" s="6">
        <f>SUM(G175:G176)</f>
        <v>11904.9</v>
      </c>
      <c r="H174" s="6">
        <f>SUM(H175:H176)</f>
        <v>0</v>
      </c>
      <c r="I174" s="6">
        <f>SUM(I175:I176)</f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6.5" hidden="1">
      <c r="A175" s="20" t="s">
        <v>671</v>
      </c>
      <c r="B175" s="45"/>
      <c r="C175" s="5" t="s">
        <v>59</v>
      </c>
      <c r="D175" s="5" t="s">
        <v>807</v>
      </c>
      <c r="E175" s="137" t="s">
        <v>409</v>
      </c>
      <c r="F175" s="5" t="s">
        <v>271</v>
      </c>
      <c r="G175" s="6">
        <f>'прил.16'!G197</f>
        <v>4629.9</v>
      </c>
      <c r="H175" s="6">
        <f>'прил.16'!H197</f>
        <v>0</v>
      </c>
      <c r="I175" s="6">
        <f>'прил.16'!I197</f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6.5" hidden="1">
      <c r="A176" s="41" t="s">
        <v>361</v>
      </c>
      <c r="B176" s="45"/>
      <c r="C176" s="5" t="s">
        <v>59</v>
      </c>
      <c r="D176" s="5" t="s">
        <v>807</v>
      </c>
      <c r="E176" s="137" t="s">
        <v>409</v>
      </c>
      <c r="F176" s="5" t="s">
        <v>214</v>
      </c>
      <c r="G176" s="6">
        <f>'прил.16'!G198+'прил.16'!G870</f>
        <v>7275</v>
      </c>
      <c r="H176" s="6">
        <f>'прил.16'!H198+'прил.16'!H870</f>
        <v>0</v>
      </c>
      <c r="I176" s="6">
        <f>'прил.16'!I198+'прил.16'!I870</f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38.25" customHeight="1">
      <c r="A177" s="45" t="s">
        <v>469</v>
      </c>
      <c r="B177" s="39">
        <v>803</v>
      </c>
      <c r="C177" s="5" t="s">
        <v>59</v>
      </c>
      <c r="D177" s="5" t="s">
        <v>807</v>
      </c>
      <c r="E177" s="5" t="s">
        <v>411</v>
      </c>
      <c r="F177" s="5"/>
      <c r="G177" s="6">
        <f>G178</f>
        <v>3834.2</v>
      </c>
      <c r="H177" s="6">
        <f>H178</f>
        <v>3834.2</v>
      </c>
      <c r="I177" s="6">
        <f>I178</f>
        <v>3834.2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6.5">
      <c r="A178" s="20" t="s">
        <v>671</v>
      </c>
      <c r="B178" s="39">
        <v>803</v>
      </c>
      <c r="C178" s="5" t="s">
        <v>59</v>
      </c>
      <c r="D178" s="5" t="s">
        <v>807</v>
      </c>
      <c r="E178" s="5" t="s">
        <v>411</v>
      </c>
      <c r="F178" s="5" t="s">
        <v>271</v>
      </c>
      <c r="G178" s="6">
        <f>'прил.16'!G200</f>
        <v>3834.2</v>
      </c>
      <c r="H178" s="6">
        <f>'прил.16'!H200</f>
        <v>3834.2</v>
      </c>
      <c r="I178" s="6">
        <f>'прил.16'!I200</f>
        <v>3834.2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35.25" customHeight="1" hidden="1">
      <c r="A179" s="45" t="s">
        <v>783</v>
      </c>
      <c r="B179" s="39">
        <v>803</v>
      </c>
      <c r="C179" s="5" t="s">
        <v>59</v>
      </c>
      <c r="D179" s="5" t="s">
        <v>807</v>
      </c>
      <c r="E179" s="137" t="s">
        <v>412</v>
      </c>
      <c r="F179" s="5"/>
      <c r="G179" s="6">
        <f>SUM(G180:G181)</f>
        <v>0</v>
      </c>
      <c r="H179" s="6">
        <f>SUM(H180:H181)</f>
        <v>0</v>
      </c>
      <c r="I179" s="6">
        <f>SUM(I180:I181)</f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9.5" customHeight="1" hidden="1">
      <c r="A180" s="20" t="s">
        <v>569</v>
      </c>
      <c r="B180" s="39"/>
      <c r="C180" s="5" t="s">
        <v>59</v>
      </c>
      <c r="D180" s="5" t="s">
        <v>807</v>
      </c>
      <c r="E180" s="137" t="s">
        <v>412</v>
      </c>
      <c r="F180" s="5" t="s">
        <v>271</v>
      </c>
      <c r="G180" s="6">
        <f>'прил.16'!G202</f>
        <v>0</v>
      </c>
      <c r="H180" s="6">
        <f>'прил.16'!H202</f>
        <v>0</v>
      </c>
      <c r="I180" s="6">
        <f>'прил.16'!I202</f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.75" customHeight="1" hidden="1">
      <c r="A181" s="20" t="s">
        <v>784</v>
      </c>
      <c r="B181" s="39">
        <v>803</v>
      </c>
      <c r="C181" s="5" t="s">
        <v>59</v>
      </c>
      <c r="D181" s="5" t="s">
        <v>807</v>
      </c>
      <c r="E181" s="137" t="s">
        <v>412</v>
      </c>
      <c r="F181" s="5" t="s">
        <v>257</v>
      </c>
      <c r="G181" s="6">
        <f>'прил.16'!G203</f>
        <v>0</v>
      </c>
      <c r="H181" s="6">
        <f>'прил.16'!H203</f>
        <v>0</v>
      </c>
      <c r="I181" s="6">
        <f>'прил.16'!I203</f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52.5" customHeight="1" hidden="1">
      <c r="A182" s="45" t="s">
        <v>436</v>
      </c>
      <c r="B182" s="39"/>
      <c r="C182" s="5" t="s">
        <v>59</v>
      </c>
      <c r="D182" s="5" t="s">
        <v>807</v>
      </c>
      <c r="E182" s="5" t="s">
        <v>437</v>
      </c>
      <c r="F182" s="5"/>
      <c r="G182" s="6">
        <f>G183</f>
        <v>10000</v>
      </c>
      <c r="H182" s="6">
        <f>H183</f>
        <v>0</v>
      </c>
      <c r="I182" s="6">
        <f>I183</f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21.75" customHeight="1" hidden="1">
      <c r="A183" s="20" t="s">
        <v>671</v>
      </c>
      <c r="B183" s="39"/>
      <c r="C183" s="5" t="s">
        <v>59</v>
      </c>
      <c r="D183" s="5" t="s">
        <v>807</v>
      </c>
      <c r="E183" s="5" t="s">
        <v>437</v>
      </c>
      <c r="F183" s="5" t="s">
        <v>271</v>
      </c>
      <c r="G183" s="6">
        <f>'прил.16'!G205</f>
        <v>10000</v>
      </c>
      <c r="H183" s="6"/>
      <c r="I183" s="6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6.5">
      <c r="A184" s="85" t="s">
        <v>673</v>
      </c>
      <c r="B184" s="85"/>
      <c r="C184" s="52" t="s">
        <v>59</v>
      </c>
      <c r="D184" s="52" t="s">
        <v>808</v>
      </c>
      <c r="E184" s="52"/>
      <c r="F184" s="52"/>
      <c r="G184" s="6">
        <f>G185+G202+G205</f>
        <v>33500</v>
      </c>
      <c r="H184" s="6">
        <f>H185+H202+H205</f>
        <v>2300</v>
      </c>
      <c r="I184" s="6">
        <f>I185+I202+I205</f>
        <v>4320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33" hidden="1">
      <c r="A185" s="41" t="s">
        <v>665</v>
      </c>
      <c r="B185" s="39">
        <v>841</v>
      </c>
      <c r="C185" s="5" t="s">
        <v>59</v>
      </c>
      <c r="D185" s="5" t="s">
        <v>808</v>
      </c>
      <c r="E185" s="5" t="s">
        <v>406</v>
      </c>
      <c r="F185" s="5"/>
      <c r="G185" s="6">
        <f>G186+G189</f>
        <v>30000</v>
      </c>
      <c r="H185" s="6">
        <f>H186+H189</f>
        <v>0</v>
      </c>
      <c r="I185" s="6">
        <f>I186+I189</f>
        <v>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51.75" customHeight="1" hidden="1">
      <c r="A186" s="41" t="s">
        <v>74</v>
      </c>
      <c r="B186" s="39">
        <v>841</v>
      </c>
      <c r="C186" s="5" t="s">
        <v>59</v>
      </c>
      <c r="D186" s="5" t="s">
        <v>808</v>
      </c>
      <c r="E186" s="5" t="s">
        <v>71</v>
      </c>
      <c r="F186" s="5"/>
      <c r="G186" s="6">
        <f aca="true" t="shared" si="18" ref="G186:I187">G187</f>
        <v>0</v>
      </c>
      <c r="H186" s="6">
        <f t="shared" si="18"/>
        <v>0</v>
      </c>
      <c r="I186" s="6">
        <f t="shared" si="18"/>
        <v>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33" hidden="1">
      <c r="A187" s="41" t="s">
        <v>407</v>
      </c>
      <c r="B187" s="39">
        <v>841</v>
      </c>
      <c r="C187" s="5" t="s">
        <v>59</v>
      </c>
      <c r="D187" s="5" t="s">
        <v>808</v>
      </c>
      <c r="E187" s="5" t="s">
        <v>408</v>
      </c>
      <c r="F187" s="5"/>
      <c r="G187" s="6">
        <f t="shared" si="18"/>
        <v>0</v>
      </c>
      <c r="H187" s="6">
        <f t="shared" si="18"/>
        <v>0</v>
      </c>
      <c r="I187" s="6">
        <f t="shared" si="18"/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33" hidden="1">
      <c r="A188" s="20" t="s">
        <v>603</v>
      </c>
      <c r="B188" s="39">
        <v>841</v>
      </c>
      <c r="C188" s="5" t="s">
        <v>59</v>
      </c>
      <c r="D188" s="5" t="s">
        <v>808</v>
      </c>
      <c r="E188" s="5" t="s">
        <v>241</v>
      </c>
      <c r="F188" s="5" t="s">
        <v>80</v>
      </c>
      <c r="G188" s="6">
        <f>'прил.16'!G936</f>
        <v>0</v>
      </c>
      <c r="H188" s="6">
        <f>'прил.16'!H936</f>
        <v>0</v>
      </c>
      <c r="I188" s="6">
        <f>'прил.16'!I936</f>
        <v>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6.5" hidden="1">
      <c r="A189" s="41" t="s">
        <v>769</v>
      </c>
      <c r="B189" s="39">
        <v>841</v>
      </c>
      <c r="C189" s="5" t="s">
        <v>59</v>
      </c>
      <c r="D189" s="5" t="s">
        <v>808</v>
      </c>
      <c r="E189" s="5" t="s">
        <v>817</v>
      </c>
      <c r="F189" s="5"/>
      <c r="G189" s="6">
        <f>G190+G192+G194+G196+G198+G200</f>
        <v>30000</v>
      </c>
      <c r="H189" s="6">
        <f>H190+H192+H194+H196+H198+H200</f>
        <v>0</v>
      </c>
      <c r="I189" s="6">
        <f>I190+I192+I194+I196+I198+I200</f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6.5" hidden="1">
      <c r="A190" s="41" t="s">
        <v>674</v>
      </c>
      <c r="B190" s="39">
        <v>841</v>
      </c>
      <c r="C190" s="5" t="s">
        <v>59</v>
      </c>
      <c r="D190" s="5" t="s">
        <v>808</v>
      </c>
      <c r="E190" s="5" t="s">
        <v>820</v>
      </c>
      <c r="F190" s="5"/>
      <c r="G190" s="6">
        <f>G191</f>
        <v>10000</v>
      </c>
      <c r="H190" s="6">
        <f>H191</f>
        <v>0</v>
      </c>
      <c r="I190" s="6">
        <f>I191</f>
        <v>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6.5" hidden="1">
      <c r="A191" s="20" t="s">
        <v>206</v>
      </c>
      <c r="B191" s="39">
        <v>841</v>
      </c>
      <c r="C191" s="5" t="s">
        <v>59</v>
      </c>
      <c r="D191" s="5" t="s">
        <v>808</v>
      </c>
      <c r="E191" s="5" t="s">
        <v>820</v>
      </c>
      <c r="F191" s="5" t="s">
        <v>4</v>
      </c>
      <c r="G191" s="6">
        <f>'прил.16'!G939</f>
        <v>10000</v>
      </c>
      <c r="H191" s="6">
        <f>'прил.16'!H939</f>
        <v>0</v>
      </c>
      <c r="I191" s="6">
        <f>'прил.16'!I939</f>
        <v>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8" customHeight="1" hidden="1">
      <c r="A192" s="20" t="s">
        <v>771</v>
      </c>
      <c r="B192" s="39">
        <v>841</v>
      </c>
      <c r="C192" s="5" t="s">
        <v>59</v>
      </c>
      <c r="D192" s="5" t="s">
        <v>808</v>
      </c>
      <c r="E192" s="5" t="s">
        <v>821</v>
      </c>
      <c r="F192" s="5"/>
      <c r="G192" s="6">
        <f>G193</f>
        <v>0</v>
      </c>
      <c r="H192" s="6">
        <f>H193</f>
        <v>0</v>
      </c>
      <c r="I192" s="6">
        <f>I193</f>
        <v>0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6.5" hidden="1">
      <c r="A193" s="20" t="s">
        <v>206</v>
      </c>
      <c r="B193" s="39">
        <v>841</v>
      </c>
      <c r="C193" s="5" t="s">
        <v>59</v>
      </c>
      <c r="D193" s="5" t="s">
        <v>808</v>
      </c>
      <c r="E193" s="5" t="s">
        <v>821</v>
      </c>
      <c r="F193" s="5" t="s">
        <v>4</v>
      </c>
      <c r="G193" s="6">
        <f>'прил.16'!G943</f>
        <v>0</v>
      </c>
      <c r="H193" s="6">
        <f>'прил.16'!H943</f>
        <v>0</v>
      </c>
      <c r="I193" s="6">
        <f>'прил.16'!I943</f>
        <v>0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6.5" hidden="1">
      <c r="A194" s="20" t="s">
        <v>772</v>
      </c>
      <c r="B194" s="39">
        <v>841</v>
      </c>
      <c r="C194" s="5" t="s">
        <v>59</v>
      </c>
      <c r="D194" s="5" t="s">
        <v>808</v>
      </c>
      <c r="E194" s="5" t="s">
        <v>264</v>
      </c>
      <c r="F194" s="5"/>
      <c r="G194" s="40">
        <f>G195</f>
        <v>0</v>
      </c>
      <c r="H194" s="40">
        <f>H195</f>
        <v>0</v>
      </c>
      <c r="I194" s="40">
        <f>I195</f>
        <v>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6.5" hidden="1">
      <c r="A195" s="20" t="s">
        <v>206</v>
      </c>
      <c r="B195" s="39">
        <v>841</v>
      </c>
      <c r="C195" s="5" t="s">
        <v>59</v>
      </c>
      <c r="D195" s="5" t="s">
        <v>808</v>
      </c>
      <c r="E195" s="5" t="s">
        <v>264</v>
      </c>
      <c r="F195" s="5" t="s">
        <v>4</v>
      </c>
      <c r="G195" s="40">
        <f>'прил.16'!G945</f>
        <v>0</v>
      </c>
      <c r="H195" s="40">
        <f>'прил.16'!H945</f>
        <v>0</v>
      </c>
      <c r="I195" s="40">
        <f>'прил.16'!I945</f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6.5" hidden="1">
      <c r="A196" s="20" t="s">
        <v>286</v>
      </c>
      <c r="B196" s="39">
        <v>841</v>
      </c>
      <c r="C196" s="5" t="s">
        <v>59</v>
      </c>
      <c r="D196" s="5" t="s">
        <v>808</v>
      </c>
      <c r="E196" s="5" t="s">
        <v>265</v>
      </c>
      <c r="F196" s="5"/>
      <c r="G196" s="40">
        <f>G197</f>
        <v>20000</v>
      </c>
      <c r="H196" s="40">
        <f>H197</f>
        <v>0</v>
      </c>
      <c r="I196" s="40">
        <f>I197</f>
        <v>0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6.5" hidden="1">
      <c r="A197" s="20" t="s">
        <v>206</v>
      </c>
      <c r="B197" s="39">
        <v>841</v>
      </c>
      <c r="C197" s="5" t="s">
        <v>59</v>
      </c>
      <c r="D197" s="5" t="s">
        <v>808</v>
      </c>
      <c r="E197" s="5" t="s">
        <v>265</v>
      </c>
      <c r="F197" s="5" t="s">
        <v>4</v>
      </c>
      <c r="G197" s="40">
        <f>'прил.16'!G947</f>
        <v>20000</v>
      </c>
      <c r="H197" s="40">
        <f>'прил.16'!H947</f>
        <v>0</v>
      </c>
      <c r="I197" s="40">
        <f>'прил.16'!I947</f>
        <v>0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25" customFormat="1" ht="33" hidden="1">
      <c r="A198" s="20" t="s">
        <v>311</v>
      </c>
      <c r="B198" s="39"/>
      <c r="C198" s="5" t="s">
        <v>59</v>
      </c>
      <c r="D198" s="5" t="s">
        <v>808</v>
      </c>
      <c r="E198" s="5" t="s">
        <v>312</v>
      </c>
      <c r="F198" s="5"/>
      <c r="G198" s="40">
        <f>G199</f>
        <v>0</v>
      </c>
      <c r="H198" s="40">
        <f>H199</f>
        <v>0</v>
      </c>
      <c r="I198" s="40">
        <f>I199</f>
        <v>0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26" customFormat="1" ht="16.5" hidden="1">
      <c r="A199" s="20" t="s">
        <v>206</v>
      </c>
      <c r="B199" s="39"/>
      <c r="C199" s="5" t="s">
        <v>59</v>
      </c>
      <c r="D199" s="5" t="s">
        <v>808</v>
      </c>
      <c r="E199" s="5" t="s">
        <v>312</v>
      </c>
      <c r="F199" s="5" t="s">
        <v>4</v>
      </c>
      <c r="G199" s="40">
        <f>'прил.16'!G949</f>
        <v>0</v>
      </c>
      <c r="H199" s="40">
        <f>'прил.16'!H949</f>
        <v>0</v>
      </c>
      <c r="I199" s="40">
        <f>'прил.16'!I949</f>
        <v>0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9" s="13" customFormat="1" ht="16.5" hidden="1">
      <c r="A200" s="20" t="s">
        <v>353</v>
      </c>
      <c r="B200" s="39"/>
      <c r="C200" s="5" t="s">
        <v>59</v>
      </c>
      <c r="D200" s="5" t="s">
        <v>808</v>
      </c>
      <c r="E200" s="5" t="s">
        <v>290</v>
      </c>
      <c r="F200" s="5"/>
      <c r="G200" s="40">
        <f>G201</f>
        <v>0</v>
      </c>
      <c r="H200" s="40">
        <f>H201</f>
        <v>0</v>
      </c>
      <c r="I200" s="40">
        <f>I201</f>
        <v>0</v>
      </c>
    </row>
    <row r="201" spans="1:9" s="13" customFormat="1" ht="16.5" hidden="1">
      <c r="A201" s="20" t="s">
        <v>206</v>
      </c>
      <c r="B201" s="39"/>
      <c r="C201" s="5" t="s">
        <v>59</v>
      </c>
      <c r="D201" s="5" t="s">
        <v>808</v>
      </c>
      <c r="E201" s="5" t="s">
        <v>290</v>
      </c>
      <c r="F201" s="5" t="s">
        <v>4</v>
      </c>
      <c r="G201" s="40"/>
      <c r="H201" s="40"/>
      <c r="I201" s="40"/>
    </row>
    <row r="202" spans="1:9" s="13" customFormat="1" ht="16.5" hidden="1">
      <c r="A202" s="45" t="s">
        <v>675</v>
      </c>
      <c r="B202" s="39"/>
      <c r="C202" s="5" t="s">
        <v>59</v>
      </c>
      <c r="D202" s="5" t="s">
        <v>808</v>
      </c>
      <c r="E202" s="5" t="s">
        <v>218</v>
      </c>
      <c r="F202" s="5"/>
      <c r="G202" s="40">
        <f aca="true" t="shared" si="19" ref="G202:I203">G203</f>
        <v>3500</v>
      </c>
      <c r="H202" s="40">
        <f t="shared" si="19"/>
        <v>0</v>
      </c>
      <c r="I202" s="40">
        <f t="shared" si="19"/>
        <v>0</v>
      </c>
    </row>
    <row r="203" spans="1:9" s="13" customFormat="1" ht="33" hidden="1">
      <c r="A203" s="45" t="s">
        <v>99</v>
      </c>
      <c r="B203" s="39"/>
      <c r="C203" s="5" t="s">
        <v>59</v>
      </c>
      <c r="D203" s="5" t="s">
        <v>808</v>
      </c>
      <c r="E203" s="5" t="s">
        <v>219</v>
      </c>
      <c r="F203" s="5"/>
      <c r="G203" s="40">
        <f t="shared" si="19"/>
        <v>3500</v>
      </c>
      <c r="H203" s="40">
        <f t="shared" si="19"/>
        <v>0</v>
      </c>
      <c r="I203" s="40">
        <f t="shared" si="19"/>
        <v>0</v>
      </c>
    </row>
    <row r="204" spans="1:9" s="13" customFormat="1" ht="16.5" hidden="1">
      <c r="A204" s="20" t="s">
        <v>671</v>
      </c>
      <c r="B204" s="39"/>
      <c r="C204" s="5" t="s">
        <v>59</v>
      </c>
      <c r="D204" s="5" t="s">
        <v>808</v>
      </c>
      <c r="E204" s="5" t="s">
        <v>219</v>
      </c>
      <c r="F204" s="5" t="s">
        <v>271</v>
      </c>
      <c r="G204" s="40">
        <f>'прил.16'!G209</f>
        <v>3500</v>
      </c>
      <c r="H204" s="40"/>
      <c r="I204" s="40"/>
    </row>
    <row r="205" spans="1:9" s="13" customFormat="1" ht="16.5">
      <c r="A205" s="42" t="s">
        <v>297</v>
      </c>
      <c r="B205" s="39"/>
      <c r="C205" s="5" t="s">
        <v>59</v>
      </c>
      <c r="D205" s="5" t="s">
        <v>808</v>
      </c>
      <c r="E205" s="5" t="s">
        <v>395</v>
      </c>
      <c r="F205" s="5"/>
      <c r="G205" s="40">
        <f aca="true" t="shared" si="20" ref="G205:I206">G206</f>
        <v>0</v>
      </c>
      <c r="H205" s="40">
        <f t="shared" si="20"/>
        <v>2300</v>
      </c>
      <c r="I205" s="40">
        <f t="shared" si="20"/>
        <v>4320</v>
      </c>
    </row>
    <row r="206" spans="1:9" s="13" customFormat="1" ht="49.5">
      <c r="A206" s="20" t="s">
        <v>451</v>
      </c>
      <c r="B206" s="39"/>
      <c r="C206" s="5" t="s">
        <v>59</v>
      </c>
      <c r="D206" s="5" t="s">
        <v>808</v>
      </c>
      <c r="E206" s="5" t="s">
        <v>450</v>
      </c>
      <c r="F206" s="5"/>
      <c r="G206" s="40">
        <f t="shared" si="20"/>
        <v>0</v>
      </c>
      <c r="H206" s="40">
        <f t="shared" si="20"/>
        <v>2300</v>
      </c>
      <c r="I206" s="40">
        <f t="shared" si="20"/>
        <v>4320</v>
      </c>
    </row>
    <row r="207" spans="1:9" s="13" customFormat="1" ht="16.5">
      <c r="A207" s="41" t="s">
        <v>361</v>
      </c>
      <c r="B207" s="39"/>
      <c r="C207" s="5" t="s">
        <v>59</v>
      </c>
      <c r="D207" s="5" t="s">
        <v>808</v>
      </c>
      <c r="E207" s="5" t="s">
        <v>450</v>
      </c>
      <c r="F207" s="5" t="s">
        <v>214</v>
      </c>
      <c r="G207" s="40">
        <f>'прил.16'!G212</f>
        <v>0</v>
      </c>
      <c r="H207" s="40">
        <f>'прил.16'!H212</f>
        <v>2300</v>
      </c>
      <c r="I207" s="40">
        <f>'прил.16'!I212</f>
        <v>4320</v>
      </c>
    </row>
    <row r="208" spans="1:23" ht="16.5">
      <c r="A208" s="50" t="s">
        <v>676</v>
      </c>
      <c r="B208" s="50"/>
      <c r="C208" s="5" t="s">
        <v>59</v>
      </c>
      <c r="D208" s="5" t="s">
        <v>809</v>
      </c>
      <c r="E208" s="5"/>
      <c r="F208" s="5"/>
      <c r="G208" s="6">
        <f>G209+G229+G232</f>
        <v>1123171.9</v>
      </c>
      <c r="H208" s="6">
        <f>H209+H229+H232</f>
        <v>935014.2</v>
      </c>
      <c r="I208" s="6">
        <f>I209+I229+I232</f>
        <v>546516.0999999999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33" hidden="1">
      <c r="A209" s="41" t="s">
        <v>665</v>
      </c>
      <c r="B209" s="39">
        <v>841</v>
      </c>
      <c r="C209" s="5" t="s">
        <v>59</v>
      </c>
      <c r="D209" s="5" t="s">
        <v>809</v>
      </c>
      <c r="E209" s="5" t="s">
        <v>406</v>
      </c>
      <c r="F209" s="5"/>
      <c r="G209" s="6">
        <f>G210+G216</f>
        <v>410638</v>
      </c>
      <c r="H209" s="6">
        <f>H210+H216</f>
        <v>0</v>
      </c>
      <c r="I209" s="6">
        <f>I210+I216</f>
        <v>0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53.25" customHeight="1" hidden="1">
      <c r="A210" s="41" t="s">
        <v>74</v>
      </c>
      <c r="B210" s="39">
        <v>841</v>
      </c>
      <c r="C210" s="5" t="s">
        <v>59</v>
      </c>
      <c r="D210" s="5" t="s">
        <v>809</v>
      </c>
      <c r="E210" s="5" t="s">
        <v>71</v>
      </c>
      <c r="F210" s="5"/>
      <c r="G210" s="6">
        <f>G211</f>
        <v>0</v>
      </c>
      <c r="H210" s="6">
        <f>H211</f>
        <v>0</v>
      </c>
      <c r="I210" s="6">
        <f>I211</f>
        <v>0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33" hidden="1">
      <c r="A211" s="41" t="s">
        <v>407</v>
      </c>
      <c r="B211" s="39">
        <v>841</v>
      </c>
      <c r="C211" s="5" t="s">
        <v>59</v>
      </c>
      <c r="D211" s="5" t="s">
        <v>809</v>
      </c>
      <c r="E211" s="5" t="s">
        <v>408</v>
      </c>
      <c r="F211" s="5"/>
      <c r="G211" s="6">
        <f>SUM(G212:G215)</f>
        <v>0</v>
      </c>
      <c r="H211" s="6">
        <f>SUM(H212:H215)</f>
        <v>0</v>
      </c>
      <c r="I211" s="6">
        <f>SUM(I212:I215)</f>
        <v>0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33" hidden="1">
      <c r="A212" s="41" t="s">
        <v>778</v>
      </c>
      <c r="B212" s="39">
        <v>841</v>
      </c>
      <c r="C212" s="5" t="s">
        <v>59</v>
      </c>
      <c r="D212" s="5" t="s">
        <v>809</v>
      </c>
      <c r="E212" s="5" t="s">
        <v>408</v>
      </c>
      <c r="F212" s="5" t="s">
        <v>81</v>
      </c>
      <c r="G212" s="48">
        <f>'прил.16'!G954</f>
        <v>0</v>
      </c>
      <c r="H212" s="48">
        <f>'прил.16'!H954</f>
        <v>0</v>
      </c>
      <c r="I212" s="48">
        <f>'прил.16'!I954</f>
        <v>0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33" hidden="1">
      <c r="A213" s="41" t="s">
        <v>592</v>
      </c>
      <c r="B213" s="39">
        <v>841</v>
      </c>
      <c r="C213" s="5" t="s">
        <v>59</v>
      </c>
      <c r="D213" s="5" t="s">
        <v>809</v>
      </c>
      <c r="E213" s="5" t="s">
        <v>408</v>
      </c>
      <c r="F213" s="5" t="s">
        <v>82</v>
      </c>
      <c r="G213" s="48">
        <f>'прил.16'!G955</f>
        <v>0</v>
      </c>
      <c r="H213" s="48">
        <f>'прил.16'!H955</f>
        <v>0</v>
      </c>
      <c r="I213" s="48">
        <f>'прил.16'!I955</f>
        <v>0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33" hidden="1">
      <c r="A214" s="41" t="s">
        <v>779</v>
      </c>
      <c r="B214" s="39">
        <v>841</v>
      </c>
      <c r="C214" s="5" t="s">
        <v>59</v>
      </c>
      <c r="D214" s="5" t="s">
        <v>809</v>
      </c>
      <c r="E214" s="5" t="s">
        <v>408</v>
      </c>
      <c r="F214" s="5" t="s">
        <v>83</v>
      </c>
      <c r="G214" s="48">
        <f>'прил.16'!G956</f>
        <v>0</v>
      </c>
      <c r="H214" s="48">
        <f>'прил.16'!H956</f>
        <v>0</v>
      </c>
      <c r="I214" s="48">
        <f>'прил.16'!I956</f>
        <v>0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32.25" customHeight="1" hidden="1">
      <c r="A215" s="41" t="s">
        <v>780</v>
      </c>
      <c r="B215" s="39">
        <v>841</v>
      </c>
      <c r="C215" s="5" t="s">
        <v>59</v>
      </c>
      <c r="D215" s="5" t="s">
        <v>809</v>
      </c>
      <c r="E215" s="5" t="s">
        <v>408</v>
      </c>
      <c r="F215" s="5" t="s">
        <v>84</v>
      </c>
      <c r="G215" s="48">
        <f>'прил.16'!G957</f>
        <v>0</v>
      </c>
      <c r="H215" s="48">
        <f>'прил.16'!H957</f>
        <v>0</v>
      </c>
      <c r="I215" s="48">
        <f>'прил.16'!I957</f>
        <v>0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s="30" customFormat="1" ht="16.5" hidden="1">
      <c r="A216" s="41" t="s">
        <v>769</v>
      </c>
      <c r="B216" s="39">
        <v>841</v>
      </c>
      <c r="C216" s="5" t="s">
        <v>59</v>
      </c>
      <c r="D216" s="5" t="s">
        <v>809</v>
      </c>
      <c r="E216" s="5" t="s">
        <v>817</v>
      </c>
      <c r="F216" s="5"/>
      <c r="G216" s="40">
        <f>G217+G219+G221+G223+G225+G227</f>
        <v>410638</v>
      </c>
      <c r="H216" s="40">
        <f>H217+H219+H221+H223+H225+H227</f>
        <v>0</v>
      </c>
      <c r="I216" s="40">
        <f>I217+I219+I221+I223+I225+I227</f>
        <v>0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30" customFormat="1" ht="16.5" hidden="1">
      <c r="A217" s="41" t="s">
        <v>674</v>
      </c>
      <c r="B217" s="39">
        <v>841</v>
      </c>
      <c r="C217" s="5" t="s">
        <v>59</v>
      </c>
      <c r="D217" s="5" t="s">
        <v>809</v>
      </c>
      <c r="E217" s="5" t="s">
        <v>820</v>
      </c>
      <c r="F217" s="5"/>
      <c r="G217" s="40">
        <f>G218</f>
        <v>266651.3</v>
      </c>
      <c r="H217" s="40">
        <f>H218</f>
        <v>0</v>
      </c>
      <c r="I217" s="40">
        <f>I218</f>
        <v>0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6.5" hidden="1">
      <c r="A218" s="20" t="s">
        <v>206</v>
      </c>
      <c r="B218" s="39">
        <v>841</v>
      </c>
      <c r="C218" s="5" t="s">
        <v>59</v>
      </c>
      <c r="D218" s="5" t="s">
        <v>809</v>
      </c>
      <c r="E218" s="5" t="s">
        <v>820</v>
      </c>
      <c r="F218" s="5" t="s">
        <v>4</v>
      </c>
      <c r="G218" s="40">
        <f>'прил.16'!G960</f>
        <v>266651.3</v>
      </c>
      <c r="H218" s="40">
        <f>'прил.16'!H960</f>
        <v>0</v>
      </c>
      <c r="I218" s="40">
        <f>'прил.16'!I960</f>
        <v>0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35.25" customHeight="1" hidden="1">
      <c r="A219" s="41" t="s">
        <v>677</v>
      </c>
      <c r="B219" s="39">
        <v>841</v>
      </c>
      <c r="C219" s="5" t="s">
        <v>59</v>
      </c>
      <c r="D219" s="5" t="s">
        <v>809</v>
      </c>
      <c r="E219" s="5" t="s">
        <v>823</v>
      </c>
      <c r="F219" s="5"/>
      <c r="G219" s="40">
        <f>G220</f>
        <v>100000</v>
      </c>
      <c r="H219" s="40">
        <f>H220</f>
        <v>0</v>
      </c>
      <c r="I219" s="40">
        <f>I220</f>
        <v>0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6.5" hidden="1">
      <c r="A220" s="20" t="s">
        <v>206</v>
      </c>
      <c r="B220" s="39">
        <v>841</v>
      </c>
      <c r="C220" s="5" t="s">
        <v>59</v>
      </c>
      <c r="D220" s="5" t="s">
        <v>809</v>
      </c>
      <c r="E220" s="5" t="s">
        <v>823</v>
      </c>
      <c r="F220" s="5" t="s">
        <v>4</v>
      </c>
      <c r="G220" s="40">
        <f>'прил.16'!G962</f>
        <v>100000</v>
      </c>
      <c r="H220" s="40">
        <f>'прил.16'!H962</f>
        <v>0</v>
      </c>
      <c r="I220" s="40">
        <f>'прил.16'!I962</f>
        <v>0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6.5" hidden="1">
      <c r="A221" s="20" t="s">
        <v>307</v>
      </c>
      <c r="B221" s="39">
        <v>841</v>
      </c>
      <c r="C221" s="5" t="s">
        <v>59</v>
      </c>
      <c r="D221" s="5" t="s">
        <v>809</v>
      </c>
      <c r="E221" s="5" t="s">
        <v>824</v>
      </c>
      <c r="F221" s="5"/>
      <c r="G221" s="40">
        <f>G222</f>
        <v>0</v>
      </c>
      <c r="H221" s="40">
        <f>H222</f>
        <v>0</v>
      </c>
      <c r="I221" s="40">
        <f>I222</f>
        <v>0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6.5" hidden="1">
      <c r="A222" s="20" t="s">
        <v>206</v>
      </c>
      <c r="B222" s="39">
        <v>841</v>
      </c>
      <c r="C222" s="5" t="s">
        <v>59</v>
      </c>
      <c r="D222" s="5" t="s">
        <v>809</v>
      </c>
      <c r="E222" s="5" t="s">
        <v>824</v>
      </c>
      <c r="F222" s="5" t="s">
        <v>4</v>
      </c>
      <c r="G222" s="40">
        <f>'прил.16'!G964</f>
        <v>0</v>
      </c>
      <c r="H222" s="40">
        <f>'прил.16'!H964</f>
        <v>0</v>
      </c>
      <c r="I222" s="40">
        <f>'прил.16'!I964</f>
        <v>0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7.25" customHeight="1" hidden="1">
      <c r="A223" s="20" t="s">
        <v>333</v>
      </c>
      <c r="B223" s="39"/>
      <c r="C223" s="5" t="s">
        <v>59</v>
      </c>
      <c r="D223" s="5" t="s">
        <v>809</v>
      </c>
      <c r="E223" s="5" t="s">
        <v>313</v>
      </c>
      <c r="F223" s="5"/>
      <c r="G223" s="6">
        <f>G224</f>
        <v>0</v>
      </c>
      <c r="H223" s="6">
        <f>H224</f>
        <v>0</v>
      </c>
      <c r="I223" s="6">
        <f>I224</f>
        <v>0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6.5" hidden="1">
      <c r="A224" s="20" t="s">
        <v>415</v>
      </c>
      <c r="B224" s="39"/>
      <c r="C224" s="5" t="s">
        <v>59</v>
      </c>
      <c r="D224" s="5" t="s">
        <v>809</v>
      </c>
      <c r="E224" s="5" t="s">
        <v>313</v>
      </c>
      <c r="F224" s="5" t="s">
        <v>4</v>
      </c>
      <c r="G224" s="6">
        <f>'прил.16'!G966</f>
        <v>0</v>
      </c>
      <c r="H224" s="6">
        <f>'прил.16'!H966</f>
        <v>0</v>
      </c>
      <c r="I224" s="6">
        <f>'прил.16'!I966</f>
        <v>0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6.5" hidden="1">
      <c r="A225" s="20" t="s">
        <v>678</v>
      </c>
      <c r="B225" s="39"/>
      <c r="C225" s="5" t="s">
        <v>59</v>
      </c>
      <c r="D225" s="5" t="s">
        <v>809</v>
      </c>
      <c r="E225" s="5" t="s">
        <v>133</v>
      </c>
      <c r="F225" s="5"/>
      <c r="G225" s="6">
        <f>G226</f>
        <v>12986.7</v>
      </c>
      <c r="H225" s="6">
        <f>H226</f>
        <v>0</v>
      </c>
      <c r="I225" s="6">
        <f>I226</f>
        <v>0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6.5" hidden="1">
      <c r="A226" s="20" t="s">
        <v>679</v>
      </c>
      <c r="B226" s="39"/>
      <c r="C226" s="5" t="s">
        <v>59</v>
      </c>
      <c r="D226" s="5" t="s">
        <v>809</v>
      </c>
      <c r="E226" s="5" t="s">
        <v>133</v>
      </c>
      <c r="F226" s="5" t="s">
        <v>4</v>
      </c>
      <c r="G226" s="6">
        <f>'прил.16'!G968</f>
        <v>12986.7</v>
      </c>
      <c r="H226" s="6">
        <f>'прил.16'!H968</f>
        <v>0</v>
      </c>
      <c r="I226" s="6">
        <f>'прил.16'!I968</f>
        <v>0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6.5" hidden="1">
      <c r="A227" s="41" t="s">
        <v>187</v>
      </c>
      <c r="B227" s="39"/>
      <c r="C227" s="5" t="s">
        <v>59</v>
      </c>
      <c r="D227" s="5" t="s">
        <v>809</v>
      </c>
      <c r="E227" s="5" t="s">
        <v>543</v>
      </c>
      <c r="F227" s="5"/>
      <c r="G227" s="6">
        <f>G228</f>
        <v>31000</v>
      </c>
      <c r="H227" s="6">
        <f>H228</f>
        <v>0</v>
      </c>
      <c r="I227" s="6">
        <f>I228</f>
        <v>0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6.5" hidden="1">
      <c r="A228" s="20" t="s">
        <v>679</v>
      </c>
      <c r="B228" s="39"/>
      <c r="C228" s="5" t="s">
        <v>59</v>
      </c>
      <c r="D228" s="5" t="s">
        <v>809</v>
      </c>
      <c r="E228" s="5" t="s">
        <v>543</v>
      </c>
      <c r="F228" s="5" t="s">
        <v>4</v>
      </c>
      <c r="G228" s="6">
        <f>'прил.16'!G970</f>
        <v>31000</v>
      </c>
      <c r="H228" s="6">
        <f>'прил.16'!H970</f>
        <v>0</v>
      </c>
      <c r="I228" s="6">
        <f>'прил.16'!I970</f>
        <v>0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6.5">
      <c r="A229" s="45" t="s">
        <v>394</v>
      </c>
      <c r="B229" s="39"/>
      <c r="C229" s="5" t="s">
        <v>59</v>
      </c>
      <c r="D229" s="5" t="s">
        <v>809</v>
      </c>
      <c r="E229" s="5" t="s">
        <v>395</v>
      </c>
      <c r="F229" s="5"/>
      <c r="G229" s="6">
        <f aca="true" t="shared" si="21" ref="G229:I230">G230</f>
        <v>154724.3</v>
      </c>
      <c r="H229" s="6">
        <f t="shared" si="21"/>
        <v>416152.8</v>
      </c>
      <c r="I229" s="6">
        <f t="shared" si="21"/>
        <v>0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49.5">
      <c r="A230" s="45" t="s">
        <v>620</v>
      </c>
      <c r="B230" s="39"/>
      <c r="C230" s="43" t="s">
        <v>59</v>
      </c>
      <c r="D230" s="5" t="s">
        <v>809</v>
      </c>
      <c r="E230" s="5" t="s">
        <v>229</v>
      </c>
      <c r="F230" s="5"/>
      <c r="G230" s="6">
        <f t="shared" si="21"/>
        <v>154724.3</v>
      </c>
      <c r="H230" s="6">
        <f t="shared" si="21"/>
        <v>416152.8</v>
      </c>
      <c r="I230" s="6">
        <f t="shared" si="21"/>
        <v>0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33">
      <c r="A231" s="45" t="s">
        <v>204</v>
      </c>
      <c r="B231" s="39"/>
      <c r="C231" s="43" t="s">
        <v>59</v>
      </c>
      <c r="D231" s="5" t="s">
        <v>809</v>
      </c>
      <c r="E231" s="5" t="s">
        <v>229</v>
      </c>
      <c r="F231" s="5" t="s">
        <v>81</v>
      </c>
      <c r="G231" s="6">
        <f>'прил.16'!G973</f>
        <v>154724.3</v>
      </c>
      <c r="H231" s="6">
        <f>'прил.16'!H973</f>
        <v>416152.8</v>
      </c>
      <c r="I231" s="6">
        <f>'прил.16'!I973</f>
        <v>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6.5">
      <c r="A232" s="45" t="s">
        <v>416</v>
      </c>
      <c r="B232" s="39">
        <v>803</v>
      </c>
      <c r="C232" s="5" t="s">
        <v>59</v>
      </c>
      <c r="D232" s="5" t="s">
        <v>809</v>
      </c>
      <c r="E232" s="5" t="s">
        <v>417</v>
      </c>
      <c r="F232" s="5"/>
      <c r="G232" s="6">
        <f>G233+G236+G239+G241+G243+G245</f>
        <v>557809.6</v>
      </c>
      <c r="H232" s="6">
        <f>H233+H236+H239+H241+H243+H245</f>
        <v>518861.4</v>
      </c>
      <c r="I232" s="6">
        <f>I233+I236+I239+I241+I243+I245</f>
        <v>546516.0999999999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6.5">
      <c r="A233" s="45" t="s">
        <v>490</v>
      </c>
      <c r="B233" s="39">
        <v>803</v>
      </c>
      <c r="C233" s="5" t="s">
        <v>59</v>
      </c>
      <c r="D233" s="5" t="s">
        <v>809</v>
      </c>
      <c r="E233" s="5" t="s">
        <v>418</v>
      </c>
      <c r="F233" s="5"/>
      <c r="G233" s="6">
        <f>SUM(G234:G235)</f>
        <v>53995.2</v>
      </c>
      <c r="H233" s="6">
        <f>SUM(H234:H235)</f>
        <v>59658.3</v>
      </c>
      <c r="I233" s="6">
        <f>SUM(I234:I235)</f>
        <v>65921.4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6.5">
      <c r="A234" s="20" t="s">
        <v>671</v>
      </c>
      <c r="B234" s="39"/>
      <c r="C234" s="5" t="s">
        <v>59</v>
      </c>
      <c r="D234" s="5" t="s">
        <v>809</v>
      </c>
      <c r="E234" s="5" t="s">
        <v>418</v>
      </c>
      <c r="F234" s="5" t="s">
        <v>271</v>
      </c>
      <c r="G234" s="6">
        <f>'прил.16'!G216</f>
        <v>24360.7</v>
      </c>
      <c r="H234" s="6">
        <f>'прил.16'!H216</f>
        <v>25578.7</v>
      </c>
      <c r="I234" s="6">
        <f>'прил.16'!I216</f>
        <v>26729.8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6.5">
      <c r="A235" s="41" t="s">
        <v>361</v>
      </c>
      <c r="B235" s="39">
        <v>803</v>
      </c>
      <c r="C235" s="5" t="s">
        <v>59</v>
      </c>
      <c r="D235" s="5" t="s">
        <v>809</v>
      </c>
      <c r="E235" s="5" t="s">
        <v>418</v>
      </c>
      <c r="F235" s="5" t="s">
        <v>214</v>
      </c>
      <c r="G235" s="6">
        <f>'прил.16'!G217</f>
        <v>29634.5</v>
      </c>
      <c r="H235" s="6">
        <f>'прил.16'!H217</f>
        <v>34079.6</v>
      </c>
      <c r="I235" s="6">
        <f>'прил.16'!I217</f>
        <v>39191.6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34.5" customHeight="1">
      <c r="A236" s="20" t="s">
        <v>419</v>
      </c>
      <c r="B236" s="39">
        <v>803</v>
      </c>
      <c r="C236" s="5" t="s">
        <v>59</v>
      </c>
      <c r="D236" s="5" t="s">
        <v>809</v>
      </c>
      <c r="E236" s="5" t="s">
        <v>420</v>
      </c>
      <c r="F236" s="5"/>
      <c r="G236" s="6">
        <f>G237+G238</f>
        <v>486087.89999999997</v>
      </c>
      <c r="H236" s="6">
        <f>H237+H238</f>
        <v>440585.9</v>
      </c>
      <c r="I236" s="6">
        <f>I237+I238</f>
        <v>461134.39999999997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9.5" customHeight="1">
      <c r="A237" s="20" t="s">
        <v>671</v>
      </c>
      <c r="B237" s="39"/>
      <c r="C237" s="5" t="s">
        <v>59</v>
      </c>
      <c r="D237" s="5" t="s">
        <v>809</v>
      </c>
      <c r="E237" s="5" t="s">
        <v>420</v>
      </c>
      <c r="F237" s="5" t="s">
        <v>271</v>
      </c>
      <c r="G237" s="6">
        <f>'прил.16'!G219</f>
        <v>2493.6</v>
      </c>
      <c r="H237" s="6">
        <f>'прил.16'!H219</f>
        <v>2618.2</v>
      </c>
      <c r="I237" s="6">
        <f>'прил.16'!I219</f>
        <v>2736.1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9.5" customHeight="1">
      <c r="A238" s="41" t="s">
        <v>361</v>
      </c>
      <c r="B238" s="39">
        <v>803</v>
      </c>
      <c r="C238" s="5" t="s">
        <v>59</v>
      </c>
      <c r="D238" s="5" t="s">
        <v>809</v>
      </c>
      <c r="E238" s="5" t="s">
        <v>420</v>
      </c>
      <c r="F238" s="5" t="s">
        <v>214</v>
      </c>
      <c r="G238" s="48">
        <f>'прил.16'!G220+'прил.16'!G874</f>
        <v>483594.3</v>
      </c>
      <c r="H238" s="48">
        <f>'прил.16'!H220+'прил.16'!H874</f>
        <v>437967.7</v>
      </c>
      <c r="I238" s="48">
        <f>'прил.16'!I220+'прил.16'!I874</f>
        <v>458398.3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6.5">
      <c r="A239" s="20" t="s">
        <v>421</v>
      </c>
      <c r="B239" s="39">
        <v>803</v>
      </c>
      <c r="C239" s="5" t="s">
        <v>59</v>
      </c>
      <c r="D239" s="5" t="s">
        <v>809</v>
      </c>
      <c r="E239" s="5" t="s">
        <v>422</v>
      </c>
      <c r="F239" s="5"/>
      <c r="G239" s="6">
        <f>G240</f>
        <v>15026.4</v>
      </c>
      <c r="H239" s="6">
        <f>H240</f>
        <v>15777.7</v>
      </c>
      <c r="I239" s="6">
        <f>I240</f>
        <v>16487.7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6.5">
      <c r="A240" s="41" t="s">
        <v>361</v>
      </c>
      <c r="B240" s="39">
        <v>803</v>
      </c>
      <c r="C240" s="5" t="s">
        <v>59</v>
      </c>
      <c r="D240" s="5" t="s">
        <v>809</v>
      </c>
      <c r="E240" s="5" t="s">
        <v>422</v>
      </c>
      <c r="F240" s="5" t="s">
        <v>214</v>
      </c>
      <c r="G240" s="6">
        <f>'прил.16'!G222</f>
        <v>15026.4</v>
      </c>
      <c r="H240" s="6">
        <f>'прил.16'!H222</f>
        <v>15777.7</v>
      </c>
      <c r="I240" s="6">
        <f>'прил.16'!I222</f>
        <v>16487.7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7.25" customHeight="1">
      <c r="A241" s="20" t="s">
        <v>528</v>
      </c>
      <c r="B241" s="39">
        <v>803</v>
      </c>
      <c r="C241" s="5" t="s">
        <v>59</v>
      </c>
      <c r="D241" s="5" t="s">
        <v>809</v>
      </c>
      <c r="E241" s="5" t="s">
        <v>423</v>
      </c>
      <c r="F241" s="5"/>
      <c r="G241" s="40">
        <f>G242</f>
        <v>2700.1</v>
      </c>
      <c r="H241" s="40">
        <f>H242</f>
        <v>2839.5</v>
      </c>
      <c r="I241" s="40">
        <f>I242</f>
        <v>2972.6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7.25" customHeight="1">
      <c r="A242" s="41" t="s">
        <v>361</v>
      </c>
      <c r="B242" s="39">
        <v>803</v>
      </c>
      <c r="C242" s="5" t="s">
        <v>59</v>
      </c>
      <c r="D242" s="5" t="s">
        <v>809</v>
      </c>
      <c r="E242" s="5" t="s">
        <v>423</v>
      </c>
      <c r="F242" s="5" t="s">
        <v>214</v>
      </c>
      <c r="G242" s="40">
        <f>'прил.16'!G224+'прил.16'!G876</f>
        <v>2700.1</v>
      </c>
      <c r="H242" s="40">
        <f>'прил.16'!H224+'прил.16'!H876</f>
        <v>2839.5</v>
      </c>
      <c r="I242" s="40">
        <f>'прил.16'!I224+'прил.16'!I876</f>
        <v>2972.6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7.25" customHeight="1" hidden="1">
      <c r="A243" s="20" t="s">
        <v>489</v>
      </c>
      <c r="B243" s="39">
        <v>803</v>
      </c>
      <c r="C243" s="5" t="s">
        <v>59</v>
      </c>
      <c r="D243" s="5" t="s">
        <v>809</v>
      </c>
      <c r="E243" s="5" t="s">
        <v>424</v>
      </c>
      <c r="F243" s="5"/>
      <c r="G243" s="6">
        <f>G244</f>
        <v>0</v>
      </c>
      <c r="H243" s="6">
        <f>H244</f>
        <v>0</v>
      </c>
      <c r="I243" s="6">
        <f>I244</f>
        <v>0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7.25" customHeight="1" hidden="1">
      <c r="A244" s="41" t="s">
        <v>361</v>
      </c>
      <c r="B244" s="39">
        <v>803</v>
      </c>
      <c r="C244" s="5" t="s">
        <v>59</v>
      </c>
      <c r="D244" s="5" t="s">
        <v>809</v>
      </c>
      <c r="E244" s="5" t="s">
        <v>424</v>
      </c>
      <c r="F244" s="5" t="s">
        <v>214</v>
      </c>
      <c r="G244" s="6">
        <f>'прил.16'!G226</f>
        <v>0</v>
      </c>
      <c r="H244" s="6">
        <f>'прил.16'!H226</f>
        <v>0</v>
      </c>
      <c r="I244" s="6">
        <f>'прил.16'!I226</f>
        <v>0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7.25" customHeight="1" hidden="1">
      <c r="A245" s="42" t="s">
        <v>230</v>
      </c>
      <c r="B245" s="39"/>
      <c r="C245" s="5" t="s">
        <v>59</v>
      </c>
      <c r="D245" s="5" t="s">
        <v>809</v>
      </c>
      <c r="E245" s="5" t="s">
        <v>424</v>
      </c>
      <c r="F245" s="5"/>
      <c r="G245" s="6">
        <f>G246</f>
        <v>0</v>
      </c>
      <c r="H245" s="6">
        <f>H246</f>
        <v>0</v>
      </c>
      <c r="I245" s="6">
        <f>I246</f>
        <v>0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7.25" customHeight="1" hidden="1">
      <c r="A246" s="42" t="s">
        <v>322</v>
      </c>
      <c r="B246" s="39"/>
      <c r="C246" s="5" t="s">
        <v>59</v>
      </c>
      <c r="D246" s="5" t="s">
        <v>809</v>
      </c>
      <c r="E246" s="5" t="s">
        <v>424</v>
      </c>
      <c r="F246" s="5" t="s">
        <v>271</v>
      </c>
      <c r="G246" s="6">
        <f>'прил.16'!G226</f>
        <v>0</v>
      </c>
      <c r="H246" s="6">
        <f>'прил.16'!H226</f>
        <v>0</v>
      </c>
      <c r="I246" s="6">
        <f>'прил.16'!I226</f>
        <v>0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6.5">
      <c r="A247" s="45" t="s">
        <v>425</v>
      </c>
      <c r="B247" s="39">
        <v>803</v>
      </c>
      <c r="C247" s="5" t="s">
        <v>59</v>
      </c>
      <c r="D247" s="5" t="s">
        <v>59</v>
      </c>
      <c r="E247" s="5"/>
      <c r="F247" s="5"/>
      <c r="G247" s="6">
        <f>G248</f>
        <v>15972.699999999999</v>
      </c>
      <c r="H247" s="6">
        <f>H248</f>
        <v>15983.5</v>
      </c>
      <c r="I247" s="6">
        <f>I248</f>
        <v>15993.8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36.75" customHeight="1">
      <c r="A248" s="41" t="s">
        <v>42</v>
      </c>
      <c r="B248" s="39">
        <v>803</v>
      </c>
      <c r="C248" s="5" t="s">
        <v>59</v>
      </c>
      <c r="D248" s="5" t="s">
        <v>59</v>
      </c>
      <c r="E248" s="5" t="s">
        <v>43</v>
      </c>
      <c r="F248" s="5"/>
      <c r="G248" s="6">
        <f aca="true" t="shared" si="22" ref="G248:I249">G249</f>
        <v>15972.699999999999</v>
      </c>
      <c r="H248" s="6">
        <f t="shared" si="22"/>
        <v>15983.5</v>
      </c>
      <c r="I248" s="6">
        <f t="shared" si="22"/>
        <v>15993.8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6.5">
      <c r="A249" s="41" t="s">
        <v>589</v>
      </c>
      <c r="B249" s="39">
        <v>803</v>
      </c>
      <c r="C249" s="5" t="s">
        <v>59</v>
      </c>
      <c r="D249" s="5" t="s">
        <v>59</v>
      </c>
      <c r="E249" s="5" t="s">
        <v>45</v>
      </c>
      <c r="F249" s="5"/>
      <c r="G249" s="6">
        <f t="shared" si="22"/>
        <v>15972.699999999999</v>
      </c>
      <c r="H249" s="6">
        <f t="shared" si="22"/>
        <v>15983.5</v>
      </c>
      <c r="I249" s="6">
        <f t="shared" si="22"/>
        <v>15993.8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6.5">
      <c r="A250" s="41" t="s">
        <v>361</v>
      </c>
      <c r="B250" s="39">
        <v>803</v>
      </c>
      <c r="C250" s="5" t="s">
        <v>59</v>
      </c>
      <c r="D250" s="5" t="s">
        <v>59</v>
      </c>
      <c r="E250" s="5" t="s">
        <v>45</v>
      </c>
      <c r="F250" s="5" t="s">
        <v>214</v>
      </c>
      <c r="G250" s="6">
        <f>'прил.16'!G230</f>
        <v>15972.699999999999</v>
      </c>
      <c r="H250" s="6">
        <f>'прил.16'!H230</f>
        <v>15983.5</v>
      </c>
      <c r="I250" s="6">
        <f>'прил.16'!I230</f>
        <v>15993.8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6.5">
      <c r="A251" s="45" t="s">
        <v>131</v>
      </c>
      <c r="B251" s="45"/>
      <c r="C251" s="5" t="s">
        <v>811</v>
      </c>
      <c r="D251" s="5"/>
      <c r="E251" s="5"/>
      <c r="F251" s="5"/>
      <c r="G251" s="6">
        <f>G256+G252</f>
        <v>18767.2</v>
      </c>
      <c r="H251" s="6">
        <f>H256+H252</f>
        <v>16189.699999999999</v>
      </c>
      <c r="I251" s="6">
        <f>I256+I252</f>
        <v>17023.600000000002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6.5">
      <c r="A252" s="53" t="s">
        <v>680</v>
      </c>
      <c r="B252" s="45"/>
      <c r="C252" s="5" t="s">
        <v>811</v>
      </c>
      <c r="D252" s="5" t="s">
        <v>809</v>
      </c>
      <c r="E252" s="5"/>
      <c r="F252" s="5"/>
      <c r="G252" s="6">
        <f aca="true" t="shared" si="23" ref="G252:I254">G253</f>
        <v>2018.4</v>
      </c>
      <c r="H252" s="6">
        <f t="shared" si="23"/>
        <v>2018.4</v>
      </c>
      <c r="I252" s="6">
        <f t="shared" si="23"/>
        <v>2018.4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6.5">
      <c r="A253" s="53" t="s">
        <v>653</v>
      </c>
      <c r="B253" s="45"/>
      <c r="C253" s="5" t="s">
        <v>811</v>
      </c>
      <c r="D253" s="5" t="s">
        <v>809</v>
      </c>
      <c r="E253" s="5" t="s">
        <v>30</v>
      </c>
      <c r="F253" s="5"/>
      <c r="G253" s="6">
        <f t="shared" si="23"/>
        <v>2018.4</v>
      </c>
      <c r="H253" s="6">
        <f t="shared" si="23"/>
        <v>2018.4</v>
      </c>
      <c r="I253" s="6">
        <f t="shared" si="23"/>
        <v>2018.4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33">
      <c r="A254" s="53" t="s">
        <v>681</v>
      </c>
      <c r="B254" s="45"/>
      <c r="C254" s="5" t="s">
        <v>811</v>
      </c>
      <c r="D254" s="5" t="s">
        <v>809</v>
      </c>
      <c r="E254" s="5" t="s">
        <v>189</v>
      </c>
      <c r="F254" s="5"/>
      <c r="G254" s="6">
        <f t="shared" si="23"/>
        <v>2018.4</v>
      </c>
      <c r="H254" s="6">
        <f t="shared" si="23"/>
        <v>2018.4</v>
      </c>
      <c r="I254" s="6">
        <f t="shared" si="23"/>
        <v>2018.4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6.5">
      <c r="A255" s="57" t="s">
        <v>645</v>
      </c>
      <c r="B255" s="45"/>
      <c r="C255" s="5" t="s">
        <v>811</v>
      </c>
      <c r="D255" s="5" t="s">
        <v>809</v>
      </c>
      <c r="E255" s="5" t="s">
        <v>189</v>
      </c>
      <c r="F255" s="5" t="s">
        <v>212</v>
      </c>
      <c r="G255" s="6">
        <f>'прил.16'!G824</f>
        <v>2018.4</v>
      </c>
      <c r="H255" s="6">
        <f>'прил.16'!H824</f>
        <v>2018.4</v>
      </c>
      <c r="I255" s="6">
        <f>'прил.16'!I824</f>
        <v>2018.4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6.5">
      <c r="A256" s="45" t="s">
        <v>682</v>
      </c>
      <c r="B256" s="39">
        <v>841</v>
      </c>
      <c r="C256" s="5" t="s">
        <v>811</v>
      </c>
      <c r="D256" s="5" t="s">
        <v>59</v>
      </c>
      <c r="E256" s="5"/>
      <c r="F256" s="5"/>
      <c r="G256" s="6">
        <f>G257+G264+G260</f>
        <v>16748.8</v>
      </c>
      <c r="H256" s="6">
        <f>H257+H264+H260</f>
        <v>14171.3</v>
      </c>
      <c r="I256" s="6">
        <f>I257+I264+I260</f>
        <v>15005.2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37.5" customHeight="1">
      <c r="A257" s="41" t="s">
        <v>42</v>
      </c>
      <c r="B257" s="45"/>
      <c r="C257" s="5" t="s">
        <v>811</v>
      </c>
      <c r="D257" s="5" t="s">
        <v>59</v>
      </c>
      <c r="E257" s="5" t="s">
        <v>43</v>
      </c>
      <c r="F257" s="5"/>
      <c r="G257" s="6">
        <f aca="true" t="shared" si="24" ref="G257:I258">G258</f>
        <v>8443.8</v>
      </c>
      <c r="H257" s="6">
        <f t="shared" si="24"/>
        <v>8431.3</v>
      </c>
      <c r="I257" s="6">
        <f t="shared" si="24"/>
        <v>8435.2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6.5">
      <c r="A258" s="41" t="s">
        <v>589</v>
      </c>
      <c r="B258" s="131"/>
      <c r="C258" s="5" t="s">
        <v>811</v>
      </c>
      <c r="D258" s="5" t="s">
        <v>59</v>
      </c>
      <c r="E258" s="5" t="s">
        <v>45</v>
      </c>
      <c r="F258" s="5"/>
      <c r="G258" s="6">
        <f t="shared" si="24"/>
        <v>8443.8</v>
      </c>
      <c r="H258" s="6">
        <f t="shared" si="24"/>
        <v>8431.3</v>
      </c>
      <c r="I258" s="6">
        <f t="shared" si="24"/>
        <v>8435.2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6.5">
      <c r="A259" s="41" t="s">
        <v>361</v>
      </c>
      <c r="B259" s="41"/>
      <c r="C259" s="5" t="s">
        <v>811</v>
      </c>
      <c r="D259" s="5" t="s">
        <v>59</v>
      </c>
      <c r="E259" s="5" t="s">
        <v>45</v>
      </c>
      <c r="F259" s="5" t="s">
        <v>214</v>
      </c>
      <c r="G259" s="6">
        <f>'прил.16'!G828</f>
        <v>8443.8</v>
      </c>
      <c r="H259" s="6">
        <f>'прил.16'!H828</f>
        <v>8431.3</v>
      </c>
      <c r="I259" s="6">
        <f>'прил.16'!I828</f>
        <v>8435.2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33" hidden="1">
      <c r="A260" s="41" t="s">
        <v>665</v>
      </c>
      <c r="B260" s="41"/>
      <c r="C260" s="5" t="s">
        <v>811</v>
      </c>
      <c r="D260" s="5" t="s">
        <v>59</v>
      </c>
      <c r="E260" s="5" t="s">
        <v>406</v>
      </c>
      <c r="F260" s="5"/>
      <c r="G260" s="6">
        <f>G261</f>
        <v>3000</v>
      </c>
      <c r="H260" s="6">
        <f>H261</f>
        <v>0</v>
      </c>
      <c r="I260" s="6">
        <f>I261</f>
        <v>0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6.5" hidden="1">
      <c r="A261" s="41" t="s">
        <v>769</v>
      </c>
      <c r="B261" s="39">
        <v>841</v>
      </c>
      <c r="C261" s="5" t="s">
        <v>811</v>
      </c>
      <c r="D261" s="5" t="s">
        <v>59</v>
      </c>
      <c r="E261" s="5" t="s">
        <v>817</v>
      </c>
      <c r="F261" s="5"/>
      <c r="G261" s="6">
        <f aca="true" t="shared" si="25" ref="G261:I262">G262</f>
        <v>3000</v>
      </c>
      <c r="H261" s="6">
        <f t="shared" si="25"/>
        <v>0</v>
      </c>
      <c r="I261" s="6">
        <f t="shared" si="25"/>
        <v>0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6.5" hidden="1">
      <c r="A262" s="41" t="s">
        <v>666</v>
      </c>
      <c r="B262" s="39">
        <v>841</v>
      </c>
      <c r="C262" s="5" t="s">
        <v>811</v>
      </c>
      <c r="D262" s="5" t="s">
        <v>59</v>
      </c>
      <c r="E262" s="5" t="s">
        <v>820</v>
      </c>
      <c r="F262" s="5"/>
      <c r="G262" s="6">
        <f t="shared" si="25"/>
        <v>3000</v>
      </c>
      <c r="H262" s="6">
        <f t="shared" si="25"/>
        <v>0</v>
      </c>
      <c r="I262" s="6">
        <f t="shared" si="25"/>
        <v>0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6.5" hidden="1">
      <c r="A263" s="20" t="s">
        <v>206</v>
      </c>
      <c r="B263" s="39">
        <v>841</v>
      </c>
      <c r="C263" s="5" t="s">
        <v>811</v>
      </c>
      <c r="D263" s="5" t="s">
        <v>59</v>
      </c>
      <c r="E263" s="5" t="s">
        <v>820</v>
      </c>
      <c r="F263" s="5" t="s">
        <v>4</v>
      </c>
      <c r="G263" s="6">
        <f>'прил.16'!G979</f>
        <v>3000</v>
      </c>
      <c r="H263" s="6">
        <f>'прил.16'!H979</f>
        <v>0</v>
      </c>
      <c r="I263" s="6">
        <f>'прил.16'!I979</f>
        <v>0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6.5">
      <c r="A264" s="45" t="s">
        <v>364</v>
      </c>
      <c r="B264" s="39">
        <v>840</v>
      </c>
      <c r="C264" s="5" t="s">
        <v>811</v>
      </c>
      <c r="D264" s="5" t="s">
        <v>59</v>
      </c>
      <c r="E264" s="5" t="s">
        <v>358</v>
      </c>
      <c r="F264" s="5"/>
      <c r="G264" s="6">
        <f>G266</f>
        <v>5305</v>
      </c>
      <c r="H264" s="6">
        <f>H266</f>
        <v>5740</v>
      </c>
      <c r="I264" s="6">
        <f>I266</f>
        <v>6570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6.5">
      <c r="A265" s="45" t="s">
        <v>394</v>
      </c>
      <c r="B265" s="39">
        <v>840</v>
      </c>
      <c r="C265" s="5" t="s">
        <v>811</v>
      </c>
      <c r="D265" s="5" t="s">
        <v>59</v>
      </c>
      <c r="E265" s="5" t="s">
        <v>359</v>
      </c>
      <c r="F265" s="5"/>
      <c r="G265" s="6">
        <f aca="true" t="shared" si="26" ref="G265:I266">G266</f>
        <v>5305</v>
      </c>
      <c r="H265" s="6">
        <f t="shared" si="26"/>
        <v>5740</v>
      </c>
      <c r="I265" s="6">
        <f t="shared" si="26"/>
        <v>6570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8" customHeight="1">
      <c r="A266" s="45" t="s">
        <v>781</v>
      </c>
      <c r="B266" s="39">
        <v>840</v>
      </c>
      <c r="C266" s="5" t="s">
        <v>811</v>
      </c>
      <c r="D266" s="5" t="s">
        <v>59</v>
      </c>
      <c r="E266" s="5" t="s">
        <v>365</v>
      </c>
      <c r="F266" s="5"/>
      <c r="G266" s="6">
        <f t="shared" si="26"/>
        <v>5305</v>
      </c>
      <c r="H266" s="6">
        <f t="shared" si="26"/>
        <v>5740</v>
      </c>
      <c r="I266" s="6">
        <f t="shared" si="26"/>
        <v>6570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6.5">
      <c r="A267" s="41" t="s">
        <v>525</v>
      </c>
      <c r="B267" s="39">
        <v>840</v>
      </c>
      <c r="C267" s="5" t="s">
        <v>811</v>
      </c>
      <c r="D267" s="5" t="s">
        <v>59</v>
      </c>
      <c r="E267" s="5" t="s">
        <v>365</v>
      </c>
      <c r="F267" s="5" t="s">
        <v>468</v>
      </c>
      <c r="G267" s="6">
        <f>'прил.16'!G832</f>
        <v>5305</v>
      </c>
      <c r="H267" s="6">
        <f>'прил.16'!H832</f>
        <v>5740</v>
      </c>
      <c r="I267" s="6">
        <f>'прил.16'!I832</f>
        <v>6570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6.5">
      <c r="A268" s="45" t="s">
        <v>134</v>
      </c>
      <c r="B268" s="45"/>
      <c r="C268" s="5" t="s">
        <v>529</v>
      </c>
      <c r="D268" s="5"/>
      <c r="E268" s="5"/>
      <c r="F268" s="5"/>
      <c r="G268" s="6">
        <f>G269+G279+G315+G319+G325+G349</f>
        <v>2294335.0000000005</v>
      </c>
      <c r="H268" s="6">
        <f>H269+H279+H315+H319+H325+H349</f>
        <v>2049791.2000000002</v>
      </c>
      <c r="I268" s="6">
        <f>I269+I279+I315+I319+I325+I349</f>
        <v>2092183.2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6.5">
      <c r="A269" s="45" t="s">
        <v>456</v>
      </c>
      <c r="B269" s="39">
        <v>805</v>
      </c>
      <c r="C269" s="5" t="s">
        <v>529</v>
      </c>
      <c r="D269" s="5" t="s">
        <v>807</v>
      </c>
      <c r="E269" s="138"/>
      <c r="F269" s="138"/>
      <c r="G269" s="6">
        <f>G270+G275</f>
        <v>872919.7000000001</v>
      </c>
      <c r="H269" s="6">
        <f>H270+H275</f>
        <v>866592.7000000001</v>
      </c>
      <c r="I269" s="6">
        <f>I270+I275</f>
        <v>883803.5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6.5">
      <c r="A270" s="45" t="s">
        <v>683</v>
      </c>
      <c r="B270" s="39">
        <v>805</v>
      </c>
      <c r="C270" s="5" t="s">
        <v>529</v>
      </c>
      <c r="D270" s="5" t="s">
        <v>807</v>
      </c>
      <c r="E270" s="5" t="s">
        <v>457</v>
      </c>
      <c r="F270" s="138"/>
      <c r="G270" s="6">
        <f>G271+G273</f>
        <v>870175.1000000001</v>
      </c>
      <c r="H270" s="6">
        <f>H271+H273</f>
        <v>863985.3</v>
      </c>
      <c r="I270" s="6">
        <f>I271+I273</f>
        <v>881196.1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6.5">
      <c r="A271" s="45" t="s">
        <v>593</v>
      </c>
      <c r="B271" s="39">
        <v>805</v>
      </c>
      <c r="C271" s="5" t="s">
        <v>529</v>
      </c>
      <c r="D271" s="5" t="s">
        <v>807</v>
      </c>
      <c r="E271" s="5" t="s">
        <v>497</v>
      </c>
      <c r="F271" s="138"/>
      <c r="G271" s="6">
        <f>G272</f>
        <v>28132</v>
      </c>
      <c r="H271" s="6">
        <f>H272</f>
        <v>28394.5</v>
      </c>
      <c r="I271" s="6">
        <f>I272</f>
        <v>28394.5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5.75" customHeight="1">
      <c r="A272" s="41" t="s">
        <v>13</v>
      </c>
      <c r="B272" s="39">
        <v>805</v>
      </c>
      <c r="C272" s="5" t="s">
        <v>529</v>
      </c>
      <c r="D272" s="5" t="s">
        <v>807</v>
      </c>
      <c r="E272" s="5" t="s">
        <v>497</v>
      </c>
      <c r="F272" s="5" t="s">
        <v>572</v>
      </c>
      <c r="G272" s="6">
        <f>'прил.16'!G283</f>
        <v>28132</v>
      </c>
      <c r="H272" s="6">
        <f>'прил.16'!H283</f>
        <v>28394.5</v>
      </c>
      <c r="I272" s="6">
        <f>'прил.16'!I283</f>
        <v>28394.5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s="25" customFormat="1" ht="18" customHeight="1">
      <c r="A273" s="45" t="s">
        <v>566</v>
      </c>
      <c r="B273" s="39">
        <v>805</v>
      </c>
      <c r="C273" s="5" t="s">
        <v>529</v>
      </c>
      <c r="D273" s="5" t="s">
        <v>807</v>
      </c>
      <c r="E273" s="5" t="s">
        <v>458</v>
      </c>
      <c r="F273" s="138"/>
      <c r="G273" s="6">
        <f>G274</f>
        <v>842043.1000000001</v>
      </c>
      <c r="H273" s="6">
        <f>H274</f>
        <v>835590.8</v>
      </c>
      <c r="I273" s="6">
        <f>I274</f>
        <v>852801.6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s="26" customFormat="1" ht="18" customHeight="1">
      <c r="A274" s="41" t="s">
        <v>13</v>
      </c>
      <c r="B274" s="39">
        <v>805</v>
      </c>
      <c r="C274" s="5" t="s">
        <v>529</v>
      </c>
      <c r="D274" s="5" t="s">
        <v>807</v>
      </c>
      <c r="E274" s="5" t="s">
        <v>458</v>
      </c>
      <c r="F274" s="5" t="s">
        <v>572</v>
      </c>
      <c r="G274" s="6">
        <f>'прил.16'!G285+'прил.16'!G881</f>
        <v>842043.1000000001</v>
      </c>
      <c r="H274" s="6">
        <f>'прил.16'!H285+'прил.16'!H881</f>
        <v>835590.8</v>
      </c>
      <c r="I274" s="6">
        <f>'прил.16'!I285+'прил.16'!I881</f>
        <v>852801.6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6.5" customHeight="1">
      <c r="A275" s="49" t="s">
        <v>653</v>
      </c>
      <c r="B275" s="39"/>
      <c r="C275" s="5" t="s">
        <v>529</v>
      </c>
      <c r="D275" s="5" t="s">
        <v>807</v>
      </c>
      <c r="E275" s="5" t="s">
        <v>30</v>
      </c>
      <c r="F275" s="5"/>
      <c r="G275" s="6">
        <f>G277</f>
        <v>2744.6</v>
      </c>
      <c r="H275" s="6">
        <f>H277</f>
        <v>2607.4</v>
      </c>
      <c r="I275" s="6">
        <f>I277</f>
        <v>2607.4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6.5" customHeight="1">
      <c r="A276" s="41" t="s">
        <v>684</v>
      </c>
      <c r="B276" s="39"/>
      <c r="C276" s="5" t="s">
        <v>529</v>
      </c>
      <c r="D276" s="5" t="s">
        <v>807</v>
      </c>
      <c r="E276" s="5" t="s">
        <v>33</v>
      </c>
      <c r="F276" s="5"/>
      <c r="G276" s="6">
        <f aca="true" t="shared" si="27" ref="G276:I277">G277</f>
        <v>2744.6</v>
      </c>
      <c r="H276" s="6">
        <f t="shared" si="27"/>
        <v>2607.4</v>
      </c>
      <c r="I276" s="6">
        <f t="shared" si="27"/>
        <v>2607.4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56.25" customHeight="1">
      <c r="A277" s="41" t="s">
        <v>685</v>
      </c>
      <c r="B277" s="39"/>
      <c r="C277" s="5" t="s">
        <v>529</v>
      </c>
      <c r="D277" s="5" t="s">
        <v>807</v>
      </c>
      <c r="E277" s="5" t="s">
        <v>480</v>
      </c>
      <c r="F277" s="5"/>
      <c r="G277" s="6">
        <f t="shared" si="27"/>
        <v>2744.6</v>
      </c>
      <c r="H277" s="6">
        <f t="shared" si="27"/>
        <v>2607.4</v>
      </c>
      <c r="I277" s="6">
        <f t="shared" si="27"/>
        <v>2607.4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6.5" customHeight="1">
      <c r="A278" s="41" t="s">
        <v>13</v>
      </c>
      <c r="B278" s="39"/>
      <c r="C278" s="5" t="s">
        <v>529</v>
      </c>
      <c r="D278" s="5" t="s">
        <v>807</v>
      </c>
      <c r="E278" s="5" t="s">
        <v>480</v>
      </c>
      <c r="F278" s="5" t="s">
        <v>572</v>
      </c>
      <c r="G278" s="6">
        <f>'прил.16'!G289</f>
        <v>2744.6</v>
      </c>
      <c r="H278" s="6">
        <f>'прил.16'!H289</f>
        <v>2607.4</v>
      </c>
      <c r="I278" s="6">
        <f>'прил.16'!I289</f>
        <v>2607.4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s="25" customFormat="1" ht="17.25" customHeight="1">
      <c r="A279" s="45" t="s">
        <v>686</v>
      </c>
      <c r="B279" s="39">
        <v>805</v>
      </c>
      <c r="C279" s="5" t="s">
        <v>529</v>
      </c>
      <c r="D279" s="5" t="s">
        <v>808</v>
      </c>
      <c r="E279" s="5"/>
      <c r="F279" s="5"/>
      <c r="G279" s="6">
        <f>G280+G288+G295+G298+G307+G301</f>
        <v>1200932.1</v>
      </c>
      <c r="H279" s="6">
        <f>H280+H288+H295+H298+H307+H301</f>
        <v>1096402.5</v>
      </c>
      <c r="I279" s="6">
        <f>I280+I288+I295+I298+I307+I301</f>
        <v>1109789.6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s="26" customFormat="1" ht="17.25" customHeight="1">
      <c r="A280" s="45" t="s">
        <v>687</v>
      </c>
      <c r="B280" s="39">
        <v>805</v>
      </c>
      <c r="C280" s="5" t="s">
        <v>529</v>
      </c>
      <c r="D280" s="5" t="s">
        <v>808</v>
      </c>
      <c r="E280" s="5" t="s">
        <v>459</v>
      </c>
      <c r="F280" s="5"/>
      <c r="G280" s="6">
        <f>G281+G283</f>
        <v>696026.9</v>
      </c>
      <c r="H280" s="6">
        <f>H281+H283</f>
        <v>647008.3</v>
      </c>
      <c r="I280" s="6">
        <f>I281+I283</f>
        <v>658032.6000000001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8" customHeight="1">
      <c r="A281" s="45" t="s">
        <v>593</v>
      </c>
      <c r="B281" s="39">
        <v>805</v>
      </c>
      <c r="C281" s="5" t="s">
        <v>529</v>
      </c>
      <c r="D281" s="5" t="s">
        <v>808</v>
      </c>
      <c r="E281" s="5" t="s">
        <v>498</v>
      </c>
      <c r="F281" s="138"/>
      <c r="G281" s="6">
        <f>G282</f>
        <v>26728.8</v>
      </c>
      <c r="H281" s="6">
        <f>H282</f>
        <v>26728.8</v>
      </c>
      <c r="I281" s="6">
        <f>I282</f>
        <v>26728.8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6.5">
      <c r="A282" s="41" t="s">
        <v>13</v>
      </c>
      <c r="B282" s="39">
        <v>805</v>
      </c>
      <c r="C282" s="5" t="s">
        <v>529</v>
      </c>
      <c r="D282" s="5" t="s">
        <v>808</v>
      </c>
      <c r="E282" s="5" t="s">
        <v>498</v>
      </c>
      <c r="F282" s="5" t="s">
        <v>572</v>
      </c>
      <c r="G282" s="6">
        <f>'прил.16'!G293</f>
        <v>26728.8</v>
      </c>
      <c r="H282" s="6">
        <f>'прил.16'!H293</f>
        <v>26728.8</v>
      </c>
      <c r="I282" s="6">
        <f>'прил.16'!I293</f>
        <v>26728.8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20.25" customHeight="1">
      <c r="A283" s="45" t="s">
        <v>566</v>
      </c>
      <c r="B283" s="39">
        <v>805</v>
      </c>
      <c r="C283" s="5" t="s">
        <v>529</v>
      </c>
      <c r="D283" s="5" t="s">
        <v>808</v>
      </c>
      <c r="E283" s="5" t="s">
        <v>460</v>
      </c>
      <c r="F283" s="5"/>
      <c r="G283" s="6">
        <f>SUM(G284:G287)</f>
        <v>669298.1</v>
      </c>
      <c r="H283" s="6">
        <f>SUM(H284:H287)</f>
        <v>620279.5</v>
      </c>
      <c r="I283" s="6">
        <f>SUM(I284:I287)</f>
        <v>631303.8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6.5" customHeight="1">
      <c r="A284" s="41" t="s">
        <v>13</v>
      </c>
      <c r="B284" s="39">
        <v>805</v>
      </c>
      <c r="C284" s="5" t="s">
        <v>529</v>
      </c>
      <c r="D284" s="5" t="s">
        <v>808</v>
      </c>
      <c r="E284" s="5" t="s">
        <v>460</v>
      </c>
      <c r="F284" s="5" t="s">
        <v>572</v>
      </c>
      <c r="G284" s="6">
        <f>'прил.16'!G295+'прил.16'!G885</f>
        <v>139520.5</v>
      </c>
      <c r="H284" s="6">
        <f>'прил.16'!H295+'прил.16'!H885</f>
        <v>116990.8</v>
      </c>
      <c r="I284" s="6">
        <f>'прил.16'!I295+'прил.16'!I885</f>
        <v>128015.1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6.5" customHeight="1">
      <c r="A285" s="54" t="s">
        <v>688</v>
      </c>
      <c r="B285" s="39"/>
      <c r="C285" s="5" t="s">
        <v>529</v>
      </c>
      <c r="D285" s="5" t="s">
        <v>808</v>
      </c>
      <c r="E285" s="5" t="s">
        <v>460</v>
      </c>
      <c r="F285" s="5" t="s">
        <v>470</v>
      </c>
      <c r="G285" s="6">
        <f>'прил.16'!G296</f>
        <v>529777.6</v>
      </c>
      <c r="H285" s="6">
        <f>'прил.16'!H296</f>
        <v>503288.7</v>
      </c>
      <c r="I285" s="6">
        <f>'прил.16'!I296</f>
        <v>503288.7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30.75" customHeight="1" hidden="1">
      <c r="A286" s="139" t="s">
        <v>581</v>
      </c>
      <c r="B286" s="39"/>
      <c r="C286" s="5" t="s">
        <v>529</v>
      </c>
      <c r="D286" s="5" t="s">
        <v>808</v>
      </c>
      <c r="E286" s="5" t="s">
        <v>460</v>
      </c>
      <c r="F286" s="5" t="s">
        <v>580</v>
      </c>
      <c r="G286" s="6">
        <f>'прил.16'!G297</f>
        <v>0</v>
      </c>
      <c r="H286" s="6">
        <f>'прил.16'!H297</f>
        <v>0</v>
      </c>
      <c r="I286" s="6">
        <f>'прил.16'!I297</f>
        <v>0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6.5" customHeight="1" hidden="1">
      <c r="A287" s="140" t="s">
        <v>587</v>
      </c>
      <c r="B287" s="39"/>
      <c r="C287" s="5" t="s">
        <v>529</v>
      </c>
      <c r="D287" s="5" t="s">
        <v>808</v>
      </c>
      <c r="E287" s="5" t="s">
        <v>460</v>
      </c>
      <c r="F287" s="5" t="s">
        <v>588</v>
      </c>
      <c r="G287" s="6">
        <f>'прил.16'!G298</f>
        <v>0</v>
      </c>
      <c r="H287" s="6">
        <f>'прил.16'!H298</f>
        <v>0</v>
      </c>
      <c r="I287" s="6">
        <f>'прил.16'!I298</f>
        <v>0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9.5" customHeight="1">
      <c r="A288" s="45" t="s">
        <v>158</v>
      </c>
      <c r="B288" s="39">
        <v>805</v>
      </c>
      <c r="C288" s="5" t="s">
        <v>529</v>
      </c>
      <c r="D288" s="5" t="s">
        <v>808</v>
      </c>
      <c r="E288" s="5" t="s">
        <v>462</v>
      </c>
      <c r="F288" s="5"/>
      <c r="G288" s="6">
        <f>G289+G291</f>
        <v>243148.30000000002</v>
      </c>
      <c r="H288" s="6">
        <f>H289+H291</f>
        <v>202014.7</v>
      </c>
      <c r="I288" s="6">
        <f>I289+I291</f>
        <v>204377.50000000003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6.5" customHeight="1">
      <c r="A289" s="45" t="s">
        <v>593</v>
      </c>
      <c r="B289" s="39">
        <v>805</v>
      </c>
      <c r="C289" s="5" t="s">
        <v>529</v>
      </c>
      <c r="D289" s="5" t="s">
        <v>808</v>
      </c>
      <c r="E289" s="5" t="s">
        <v>499</v>
      </c>
      <c r="F289" s="5"/>
      <c r="G289" s="6">
        <f>G290</f>
        <v>2699.6</v>
      </c>
      <c r="H289" s="6">
        <f>H290</f>
        <v>2699.6</v>
      </c>
      <c r="I289" s="6">
        <f>I290</f>
        <v>2699.6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7.25" customHeight="1">
      <c r="A290" s="41" t="s">
        <v>13</v>
      </c>
      <c r="B290" s="39" t="s">
        <v>279</v>
      </c>
      <c r="C290" s="5" t="s">
        <v>529</v>
      </c>
      <c r="D290" s="5" t="s">
        <v>808</v>
      </c>
      <c r="E290" s="5" t="s">
        <v>499</v>
      </c>
      <c r="F290" s="5" t="s">
        <v>572</v>
      </c>
      <c r="G290" s="6">
        <f>'прил.16'!G301+'прил.16'!G559+'прил.16'!G648</f>
        <v>2699.6</v>
      </c>
      <c r="H290" s="6">
        <f>'прил.16'!H301+'прил.16'!H559+'прил.16'!H648</f>
        <v>2699.6</v>
      </c>
      <c r="I290" s="6">
        <f>'прил.16'!I301+'прил.16'!I559+'прил.16'!I648</f>
        <v>2699.6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6.5" customHeight="1">
      <c r="A291" s="45" t="s">
        <v>566</v>
      </c>
      <c r="B291" s="39">
        <v>805</v>
      </c>
      <c r="C291" s="5" t="s">
        <v>529</v>
      </c>
      <c r="D291" s="5" t="s">
        <v>808</v>
      </c>
      <c r="E291" s="5" t="s">
        <v>463</v>
      </c>
      <c r="F291" s="5"/>
      <c r="G291" s="6">
        <f>G292+G293+G294</f>
        <v>240448.7</v>
      </c>
      <c r="H291" s="6">
        <f>H292+H293+H294</f>
        <v>199315.1</v>
      </c>
      <c r="I291" s="6">
        <f>I292+I293+I294</f>
        <v>201677.90000000002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7.25" customHeight="1">
      <c r="A292" s="41" t="s">
        <v>13</v>
      </c>
      <c r="B292" s="39" t="s">
        <v>278</v>
      </c>
      <c r="C292" s="5" t="s">
        <v>529</v>
      </c>
      <c r="D292" s="5" t="s">
        <v>808</v>
      </c>
      <c r="E292" s="5" t="s">
        <v>463</v>
      </c>
      <c r="F292" s="5" t="s">
        <v>572</v>
      </c>
      <c r="G292" s="6">
        <f>'прил.16'!G303+'прил.16'!G561+'прил.16'!G650+'прил.16'!G888</f>
        <v>240448.7</v>
      </c>
      <c r="H292" s="6">
        <f>'прил.16'!H303+'прил.16'!H561+'прил.16'!H650+'прил.16'!H888</f>
        <v>199315.1</v>
      </c>
      <c r="I292" s="6">
        <f>'прил.16'!I303+'прил.16'!I561+'прил.16'!I650+'прил.16'!I888</f>
        <v>201677.90000000002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33.75" customHeight="1" hidden="1">
      <c r="A293" s="139" t="s">
        <v>581</v>
      </c>
      <c r="B293" s="39"/>
      <c r="C293" s="5" t="s">
        <v>529</v>
      </c>
      <c r="D293" s="5" t="s">
        <v>808</v>
      </c>
      <c r="E293" s="5" t="s">
        <v>463</v>
      </c>
      <c r="F293" s="5" t="s">
        <v>580</v>
      </c>
      <c r="G293" s="6">
        <f>'прил.16'!G651</f>
        <v>0</v>
      </c>
      <c r="H293" s="6">
        <f>'прил.16'!H651</f>
        <v>0</v>
      </c>
      <c r="I293" s="6">
        <f>'прил.16'!I651</f>
        <v>0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7.25" customHeight="1" hidden="1">
      <c r="A294" s="140" t="s">
        <v>587</v>
      </c>
      <c r="B294" s="39"/>
      <c r="C294" s="5" t="s">
        <v>529</v>
      </c>
      <c r="D294" s="5" t="s">
        <v>808</v>
      </c>
      <c r="E294" s="5" t="s">
        <v>463</v>
      </c>
      <c r="F294" s="5" t="s">
        <v>588</v>
      </c>
      <c r="G294" s="6">
        <f>'прил.16'!G652</f>
        <v>0</v>
      </c>
      <c r="H294" s="6">
        <f>'прил.16'!H652</f>
        <v>0</v>
      </c>
      <c r="I294" s="6">
        <f>'прил.16'!I652</f>
        <v>0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7.25" customHeight="1">
      <c r="A295" s="45" t="s">
        <v>689</v>
      </c>
      <c r="B295" s="39">
        <v>805</v>
      </c>
      <c r="C295" s="5" t="s">
        <v>529</v>
      </c>
      <c r="D295" s="5" t="s">
        <v>808</v>
      </c>
      <c r="E295" s="5" t="s">
        <v>464</v>
      </c>
      <c r="F295" s="5"/>
      <c r="G295" s="141">
        <f aca="true" t="shared" si="28" ref="G295:I296">G296</f>
        <v>33.6</v>
      </c>
      <c r="H295" s="141">
        <f t="shared" si="28"/>
        <v>33.6</v>
      </c>
      <c r="I295" s="141">
        <f t="shared" si="28"/>
        <v>33.6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18" customHeight="1">
      <c r="A296" s="45" t="s">
        <v>566</v>
      </c>
      <c r="B296" s="39">
        <v>805</v>
      </c>
      <c r="C296" s="5" t="s">
        <v>529</v>
      </c>
      <c r="D296" s="5" t="s">
        <v>808</v>
      </c>
      <c r="E296" s="5" t="s">
        <v>465</v>
      </c>
      <c r="F296" s="5"/>
      <c r="G296" s="141">
        <f t="shared" si="28"/>
        <v>33.6</v>
      </c>
      <c r="H296" s="141">
        <f t="shared" si="28"/>
        <v>33.6</v>
      </c>
      <c r="I296" s="141">
        <f t="shared" si="28"/>
        <v>33.6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9.5" customHeight="1">
      <c r="A297" s="41" t="s">
        <v>13</v>
      </c>
      <c r="B297" s="39">
        <v>805</v>
      </c>
      <c r="C297" s="5" t="s">
        <v>529</v>
      </c>
      <c r="D297" s="5" t="s">
        <v>808</v>
      </c>
      <c r="E297" s="5" t="s">
        <v>465</v>
      </c>
      <c r="F297" s="5" t="s">
        <v>572</v>
      </c>
      <c r="G297" s="6">
        <f>'прил.16'!G306</f>
        <v>33.6</v>
      </c>
      <c r="H297" s="6">
        <f>'прил.16'!H306</f>
        <v>33.6</v>
      </c>
      <c r="I297" s="6">
        <f>'прил.16'!I306</f>
        <v>33.6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8.75" customHeight="1">
      <c r="A298" s="45" t="s">
        <v>782</v>
      </c>
      <c r="B298" s="39">
        <v>805</v>
      </c>
      <c r="C298" s="5" t="s">
        <v>529</v>
      </c>
      <c r="D298" s="5" t="s">
        <v>808</v>
      </c>
      <c r="E298" s="5" t="s">
        <v>466</v>
      </c>
      <c r="F298" s="5"/>
      <c r="G298" s="6">
        <f aca="true" t="shared" si="29" ref="G298:I299">G299</f>
        <v>33.6</v>
      </c>
      <c r="H298" s="6">
        <f t="shared" si="29"/>
        <v>33.6</v>
      </c>
      <c r="I298" s="6">
        <f t="shared" si="29"/>
        <v>33.6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8.75" customHeight="1">
      <c r="A299" s="45" t="s">
        <v>566</v>
      </c>
      <c r="B299" s="39">
        <v>805</v>
      </c>
      <c r="C299" s="5" t="s">
        <v>529</v>
      </c>
      <c r="D299" s="5" t="s">
        <v>808</v>
      </c>
      <c r="E299" s="5" t="s">
        <v>467</v>
      </c>
      <c r="F299" s="5"/>
      <c r="G299" s="6">
        <f t="shared" si="29"/>
        <v>33.6</v>
      </c>
      <c r="H299" s="6">
        <f t="shared" si="29"/>
        <v>33.6</v>
      </c>
      <c r="I299" s="6">
        <f t="shared" si="29"/>
        <v>33.6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5.75" customHeight="1">
      <c r="A300" s="41" t="s">
        <v>13</v>
      </c>
      <c r="B300" s="39">
        <v>805</v>
      </c>
      <c r="C300" s="5" t="s">
        <v>529</v>
      </c>
      <c r="D300" s="5" t="s">
        <v>808</v>
      </c>
      <c r="E300" s="5" t="s">
        <v>467</v>
      </c>
      <c r="F300" s="5" t="s">
        <v>572</v>
      </c>
      <c r="G300" s="6">
        <f>'прил.16'!G309</f>
        <v>33.6</v>
      </c>
      <c r="H300" s="6">
        <f>'прил.16'!H309</f>
        <v>33.6</v>
      </c>
      <c r="I300" s="6">
        <f>'прил.16'!I309</f>
        <v>33.6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5.75" customHeight="1">
      <c r="A301" s="41" t="s">
        <v>690</v>
      </c>
      <c r="B301" s="39"/>
      <c r="C301" s="5" t="s">
        <v>529</v>
      </c>
      <c r="D301" s="5" t="s">
        <v>808</v>
      </c>
      <c r="E301" s="5" t="s">
        <v>475</v>
      </c>
      <c r="F301" s="5"/>
      <c r="G301" s="6">
        <f>G302</f>
        <v>67068</v>
      </c>
      <c r="H301" s="6">
        <f>H302</f>
        <v>67068</v>
      </c>
      <c r="I301" s="6">
        <f>I302</f>
        <v>67068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9.5" customHeight="1">
      <c r="A302" s="41" t="s">
        <v>691</v>
      </c>
      <c r="B302" s="39"/>
      <c r="C302" s="5" t="s">
        <v>529</v>
      </c>
      <c r="D302" s="5" t="s">
        <v>808</v>
      </c>
      <c r="E302" s="5" t="s">
        <v>474</v>
      </c>
      <c r="F302" s="5"/>
      <c r="G302" s="6">
        <f>G303+G305</f>
        <v>67068</v>
      </c>
      <c r="H302" s="6">
        <f>H303+H305</f>
        <v>67068</v>
      </c>
      <c r="I302" s="6">
        <f>I303+I305</f>
        <v>67068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5.75" customHeight="1">
      <c r="A303" s="41" t="s">
        <v>606</v>
      </c>
      <c r="B303" s="39"/>
      <c r="C303" s="5" t="s">
        <v>529</v>
      </c>
      <c r="D303" s="5" t="s">
        <v>808</v>
      </c>
      <c r="E303" s="5" t="s">
        <v>478</v>
      </c>
      <c r="F303" s="5"/>
      <c r="G303" s="6">
        <f>G304</f>
        <v>47937</v>
      </c>
      <c r="H303" s="6">
        <f>H304</f>
        <v>47937</v>
      </c>
      <c r="I303" s="6">
        <f>I304</f>
        <v>47937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5.75" customHeight="1">
      <c r="A304" s="41" t="s">
        <v>13</v>
      </c>
      <c r="B304" s="39"/>
      <c r="C304" s="5" t="s">
        <v>529</v>
      </c>
      <c r="D304" s="5" t="s">
        <v>808</v>
      </c>
      <c r="E304" s="5" t="s">
        <v>478</v>
      </c>
      <c r="F304" s="5" t="s">
        <v>572</v>
      </c>
      <c r="G304" s="6">
        <f>'прил.16'!G312</f>
        <v>47937</v>
      </c>
      <c r="H304" s="6">
        <f>'прил.16'!H312</f>
        <v>47937</v>
      </c>
      <c r="I304" s="6">
        <f>'прил.16'!I312</f>
        <v>47937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5.75" customHeight="1">
      <c r="A305" s="41" t="s">
        <v>607</v>
      </c>
      <c r="B305" s="39"/>
      <c r="C305" s="5" t="s">
        <v>529</v>
      </c>
      <c r="D305" s="5" t="s">
        <v>808</v>
      </c>
      <c r="E305" s="5" t="s">
        <v>473</v>
      </c>
      <c r="F305" s="5"/>
      <c r="G305" s="6">
        <f>G306</f>
        <v>19131</v>
      </c>
      <c r="H305" s="6">
        <f>H306</f>
        <v>19131</v>
      </c>
      <c r="I305" s="6">
        <f>I306</f>
        <v>19131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5.75" customHeight="1">
      <c r="A306" s="41" t="s">
        <v>13</v>
      </c>
      <c r="B306" s="39"/>
      <c r="C306" s="5" t="s">
        <v>529</v>
      </c>
      <c r="D306" s="5" t="s">
        <v>808</v>
      </c>
      <c r="E306" s="5" t="s">
        <v>473</v>
      </c>
      <c r="F306" s="5" t="s">
        <v>572</v>
      </c>
      <c r="G306" s="6">
        <f>'прил.16'!G315</f>
        <v>19131</v>
      </c>
      <c r="H306" s="6">
        <f>'прил.16'!H315</f>
        <v>19131</v>
      </c>
      <c r="I306" s="6">
        <f>'прил.16'!I315</f>
        <v>19131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9.5" customHeight="1">
      <c r="A307" s="41" t="s">
        <v>653</v>
      </c>
      <c r="B307" s="39"/>
      <c r="C307" s="5" t="s">
        <v>529</v>
      </c>
      <c r="D307" s="5" t="s">
        <v>808</v>
      </c>
      <c r="E307" s="5" t="s">
        <v>30</v>
      </c>
      <c r="F307" s="5"/>
      <c r="G307" s="6">
        <f>G308</f>
        <v>194621.7</v>
      </c>
      <c r="H307" s="6">
        <f>H308</f>
        <v>180244.30000000002</v>
      </c>
      <c r="I307" s="6">
        <f>I308</f>
        <v>180244.30000000002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8.75" customHeight="1">
      <c r="A308" s="41" t="s">
        <v>684</v>
      </c>
      <c r="B308" s="39"/>
      <c r="C308" s="5" t="s">
        <v>529</v>
      </c>
      <c r="D308" s="5" t="s">
        <v>808</v>
      </c>
      <c r="E308" s="5" t="s">
        <v>33</v>
      </c>
      <c r="F308" s="5"/>
      <c r="G308" s="6">
        <f>G309+G313+G311</f>
        <v>194621.7</v>
      </c>
      <c r="H308" s="6">
        <f>H309+H313+H311</f>
        <v>180244.30000000002</v>
      </c>
      <c r="I308" s="6">
        <f>I309+I313+I311</f>
        <v>180244.30000000002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05" customHeight="1">
      <c r="A309" s="41" t="s">
        <v>608</v>
      </c>
      <c r="B309" s="39"/>
      <c r="C309" s="5" t="s">
        <v>529</v>
      </c>
      <c r="D309" s="5" t="s">
        <v>808</v>
      </c>
      <c r="E309" s="5" t="s">
        <v>35</v>
      </c>
      <c r="F309" s="5"/>
      <c r="G309" s="6">
        <f>G310</f>
        <v>123855.7</v>
      </c>
      <c r="H309" s="6">
        <f>H310</f>
        <v>117659.3</v>
      </c>
      <c r="I309" s="6">
        <f>I310</f>
        <v>117659.3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19.5" customHeight="1">
      <c r="A310" s="41" t="s">
        <v>13</v>
      </c>
      <c r="B310" s="39"/>
      <c r="C310" s="5" t="s">
        <v>529</v>
      </c>
      <c r="D310" s="5" t="s">
        <v>808</v>
      </c>
      <c r="E310" s="5" t="s">
        <v>35</v>
      </c>
      <c r="F310" s="5" t="s">
        <v>572</v>
      </c>
      <c r="G310" s="6">
        <f>'прил.16'!G319</f>
        <v>123855.7</v>
      </c>
      <c r="H310" s="6">
        <f>'прил.16'!H319</f>
        <v>117659.3</v>
      </c>
      <c r="I310" s="6">
        <f>'прил.16'!I319</f>
        <v>117659.3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85.5" customHeight="1">
      <c r="A311" s="55" t="s">
        <v>609</v>
      </c>
      <c r="B311" s="39"/>
      <c r="C311" s="5" t="s">
        <v>529</v>
      </c>
      <c r="D311" s="5" t="s">
        <v>808</v>
      </c>
      <c r="E311" s="5" t="s">
        <v>481</v>
      </c>
      <c r="F311" s="5"/>
      <c r="G311" s="6">
        <f>G312</f>
        <v>70409.6</v>
      </c>
      <c r="H311" s="6">
        <f>H312</f>
        <v>62246.4</v>
      </c>
      <c r="I311" s="6">
        <f>I312</f>
        <v>62246.4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9.5" customHeight="1">
      <c r="A312" s="41" t="s">
        <v>13</v>
      </c>
      <c r="B312" s="39"/>
      <c r="C312" s="5" t="s">
        <v>529</v>
      </c>
      <c r="D312" s="5" t="s">
        <v>808</v>
      </c>
      <c r="E312" s="5" t="s">
        <v>481</v>
      </c>
      <c r="F312" s="5" t="s">
        <v>572</v>
      </c>
      <c r="G312" s="6">
        <f>'прил.16'!G321</f>
        <v>70409.6</v>
      </c>
      <c r="H312" s="6">
        <f>'прил.16'!H321</f>
        <v>62246.4</v>
      </c>
      <c r="I312" s="6">
        <f>'прил.16'!I321</f>
        <v>62246.4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55.5" customHeight="1">
      <c r="A313" s="56" t="s">
        <v>692</v>
      </c>
      <c r="B313" s="39"/>
      <c r="C313" s="5" t="s">
        <v>529</v>
      </c>
      <c r="D313" s="5" t="s">
        <v>808</v>
      </c>
      <c r="E313" s="5" t="s">
        <v>471</v>
      </c>
      <c r="F313" s="5"/>
      <c r="G313" s="6">
        <f>G314</f>
        <v>356.4</v>
      </c>
      <c r="H313" s="6">
        <f>H314</f>
        <v>338.6</v>
      </c>
      <c r="I313" s="6">
        <f>I314</f>
        <v>338.6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19.5" customHeight="1">
      <c r="A314" s="41" t="s">
        <v>13</v>
      </c>
      <c r="B314" s="39"/>
      <c r="C314" s="5" t="s">
        <v>529</v>
      </c>
      <c r="D314" s="5" t="s">
        <v>808</v>
      </c>
      <c r="E314" s="5" t="s">
        <v>471</v>
      </c>
      <c r="F314" s="5" t="s">
        <v>572</v>
      </c>
      <c r="G314" s="6">
        <f>'прил.16'!G323</f>
        <v>356.4</v>
      </c>
      <c r="H314" s="6">
        <f>'прил.16'!H323</f>
        <v>338.6</v>
      </c>
      <c r="I314" s="6">
        <f>'прил.16'!I323</f>
        <v>338.6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8" customHeight="1" hidden="1">
      <c r="A315" s="41" t="s">
        <v>40</v>
      </c>
      <c r="B315" s="39"/>
      <c r="C315" s="5" t="s">
        <v>529</v>
      </c>
      <c r="D315" s="5" t="s">
        <v>809</v>
      </c>
      <c r="E315" s="5"/>
      <c r="F315" s="5"/>
      <c r="G315" s="6">
        <f>G316</f>
        <v>0</v>
      </c>
      <c r="H315" s="6">
        <f aca="true" t="shared" si="30" ref="H315:I317">H316</f>
        <v>0</v>
      </c>
      <c r="I315" s="6">
        <f t="shared" si="30"/>
        <v>0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17.25" customHeight="1" hidden="1">
      <c r="A316" s="41" t="s">
        <v>41</v>
      </c>
      <c r="B316" s="39"/>
      <c r="C316" s="5" t="s">
        <v>529</v>
      </c>
      <c r="D316" s="5" t="s">
        <v>809</v>
      </c>
      <c r="E316" s="5" t="s">
        <v>38</v>
      </c>
      <c r="F316" s="5"/>
      <c r="G316" s="6">
        <f>G317</f>
        <v>0</v>
      </c>
      <c r="H316" s="6">
        <f t="shared" si="30"/>
        <v>0</v>
      </c>
      <c r="I316" s="6">
        <f t="shared" si="30"/>
        <v>0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15.75" customHeight="1" hidden="1">
      <c r="A317" s="45" t="s">
        <v>403</v>
      </c>
      <c r="B317" s="39"/>
      <c r="C317" s="5" t="s">
        <v>529</v>
      </c>
      <c r="D317" s="5" t="s">
        <v>809</v>
      </c>
      <c r="E317" s="5" t="s">
        <v>39</v>
      </c>
      <c r="F317" s="5"/>
      <c r="G317" s="6">
        <f>G318</f>
        <v>0</v>
      </c>
      <c r="H317" s="6">
        <f t="shared" si="30"/>
        <v>0</v>
      </c>
      <c r="I317" s="6">
        <f t="shared" si="30"/>
        <v>0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5.75" customHeight="1" hidden="1">
      <c r="A318" s="41" t="s">
        <v>13</v>
      </c>
      <c r="B318" s="39"/>
      <c r="C318" s="5" t="s">
        <v>529</v>
      </c>
      <c r="D318" s="5" t="s">
        <v>809</v>
      </c>
      <c r="E318" s="5" t="s">
        <v>39</v>
      </c>
      <c r="F318" s="5" t="s">
        <v>572</v>
      </c>
      <c r="G318" s="6">
        <f>'прил.16'!G327</f>
        <v>0</v>
      </c>
      <c r="H318" s="6">
        <f>'прил.16'!H327</f>
        <v>0</v>
      </c>
      <c r="I318" s="6">
        <f>'прил.16'!I327</f>
        <v>0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21" customHeight="1" hidden="1">
      <c r="A319" s="45" t="s">
        <v>573</v>
      </c>
      <c r="B319" s="5" t="s">
        <v>14</v>
      </c>
      <c r="C319" s="5" t="s">
        <v>529</v>
      </c>
      <c r="D319" s="5" t="s">
        <v>59</v>
      </c>
      <c r="E319" s="5"/>
      <c r="F319" s="5"/>
      <c r="G319" s="6">
        <f>G320</f>
        <v>0</v>
      </c>
      <c r="H319" s="6">
        <f>H320</f>
        <v>0</v>
      </c>
      <c r="I319" s="6">
        <f>I320</f>
        <v>0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20.25" customHeight="1" hidden="1">
      <c r="A320" s="45" t="s">
        <v>551</v>
      </c>
      <c r="B320" s="39">
        <v>805</v>
      </c>
      <c r="C320" s="5" t="s">
        <v>529</v>
      </c>
      <c r="D320" s="5" t="s">
        <v>59</v>
      </c>
      <c r="E320" s="5" t="s">
        <v>550</v>
      </c>
      <c r="F320" s="5"/>
      <c r="G320" s="6">
        <f>G321+G323</f>
        <v>0</v>
      </c>
      <c r="H320" s="6">
        <f>H321+H323</f>
        <v>0</v>
      </c>
      <c r="I320" s="6">
        <f>I321+I323</f>
        <v>0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8.75" customHeight="1" hidden="1">
      <c r="A321" s="45" t="s">
        <v>496</v>
      </c>
      <c r="B321" s="39">
        <v>805</v>
      </c>
      <c r="C321" s="5" t="s">
        <v>529</v>
      </c>
      <c r="D321" s="5" t="s">
        <v>59</v>
      </c>
      <c r="E321" s="5" t="s">
        <v>553</v>
      </c>
      <c r="F321" s="5"/>
      <c r="G321" s="6">
        <f>G322</f>
        <v>0</v>
      </c>
      <c r="H321" s="6">
        <f>H322</f>
        <v>0</v>
      </c>
      <c r="I321" s="6">
        <f>I322</f>
        <v>0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8.75" customHeight="1" hidden="1">
      <c r="A322" s="41" t="s">
        <v>13</v>
      </c>
      <c r="B322" s="39">
        <v>805</v>
      </c>
      <c r="C322" s="5" t="s">
        <v>529</v>
      </c>
      <c r="D322" s="5" t="s">
        <v>59</v>
      </c>
      <c r="E322" s="5" t="s">
        <v>553</v>
      </c>
      <c r="F322" s="5" t="s">
        <v>572</v>
      </c>
      <c r="G322" s="6">
        <f>'прил.16'!G331</f>
        <v>0</v>
      </c>
      <c r="H322" s="6">
        <f>'прил.16'!H331</f>
        <v>0</v>
      </c>
      <c r="I322" s="6">
        <f>'прил.16'!I331</f>
        <v>0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18.75" customHeight="1" hidden="1">
      <c r="A323" s="45" t="s">
        <v>403</v>
      </c>
      <c r="B323" s="39">
        <v>805</v>
      </c>
      <c r="C323" s="5" t="s">
        <v>529</v>
      </c>
      <c r="D323" s="5" t="s">
        <v>59</v>
      </c>
      <c r="E323" s="5" t="s">
        <v>552</v>
      </c>
      <c r="F323" s="5"/>
      <c r="G323" s="6">
        <f>G324</f>
        <v>0</v>
      </c>
      <c r="H323" s="6">
        <f>H324</f>
        <v>0</v>
      </c>
      <c r="I323" s="6">
        <f>I324</f>
        <v>0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s="25" customFormat="1" ht="17.25" customHeight="1" hidden="1">
      <c r="A324" s="41" t="s">
        <v>13</v>
      </c>
      <c r="B324" s="39">
        <v>805</v>
      </c>
      <c r="C324" s="5" t="s">
        <v>529</v>
      </c>
      <c r="D324" s="5" t="s">
        <v>59</v>
      </c>
      <c r="E324" s="5" t="s">
        <v>552</v>
      </c>
      <c r="F324" s="5" t="s">
        <v>572</v>
      </c>
      <c r="G324" s="6">
        <f>'прил.16'!G333</f>
        <v>0</v>
      </c>
      <c r="H324" s="6">
        <f>'прил.16'!H333</f>
        <v>0</v>
      </c>
      <c r="I324" s="6">
        <f>'прил.16'!I333</f>
        <v>0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8.75" customHeight="1">
      <c r="A325" s="45" t="s">
        <v>250</v>
      </c>
      <c r="B325" s="39">
        <v>805</v>
      </c>
      <c r="C325" s="5" t="s">
        <v>529</v>
      </c>
      <c r="D325" s="5" t="s">
        <v>529</v>
      </c>
      <c r="E325" s="5"/>
      <c r="F325" s="5"/>
      <c r="G325" s="6">
        <f>G326+G333+G345+G338+G341</f>
        <v>22776.6</v>
      </c>
      <c r="H325" s="6">
        <f>H326+H333+H345+H338+H341</f>
        <v>13793.800000000001</v>
      </c>
      <c r="I325" s="6">
        <f>I326+I333+I345+I338+I341</f>
        <v>19626.7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9.5" customHeight="1">
      <c r="A326" s="45" t="s">
        <v>693</v>
      </c>
      <c r="B326" s="39">
        <v>801</v>
      </c>
      <c r="C326" s="5" t="s">
        <v>529</v>
      </c>
      <c r="D326" s="5" t="s">
        <v>529</v>
      </c>
      <c r="E326" s="5" t="s">
        <v>380</v>
      </c>
      <c r="F326" s="5"/>
      <c r="G326" s="6">
        <f>G327+G329+G331</f>
        <v>5685.3</v>
      </c>
      <c r="H326" s="6">
        <f>H327+H329+H331</f>
        <v>5825.200000000001</v>
      </c>
      <c r="I326" s="6">
        <f>I327+I329+I331</f>
        <v>5965.200000000001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7.25" customHeight="1">
      <c r="A327" s="45" t="s">
        <v>594</v>
      </c>
      <c r="B327" s="39">
        <v>801</v>
      </c>
      <c r="C327" s="5" t="s">
        <v>529</v>
      </c>
      <c r="D327" s="5" t="s">
        <v>529</v>
      </c>
      <c r="E327" s="5" t="s">
        <v>379</v>
      </c>
      <c r="F327" s="5"/>
      <c r="G327" s="6">
        <f>G328</f>
        <v>804.5</v>
      </c>
      <c r="H327" s="6">
        <f>H328</f>
        <v>844.8</v>
      </c>
      <c r="I327" s="6">
        <f>I328</f>
        <v>882.8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5.75" customHeight="1">
      <c r="A328" s="45" t="s">
        <v>157</v>
      </c>
      <c r="B328" s="39">
        <v>801</v>
      </c>
      <c r="C328" s="5" t="s">
        <v>529</v>
      </c>
      <c r="D328" s="5" t="s">
        <v>529</v>
      </c>
      <c r="E328" s="5" t="s">
        <v>379</v>
      </c>
      <c r="F328" s="5" t="s">
        <v>559</v>
      </c>
      <c r="G328" s="6">
        <f>'прил.16'!G106</f>
        <v>804.5</v>
      </c>
      <c r="H328" s="6">
        <f>'прил.16'!H106</f>
        <v>844.8</v>
      </c>
      <c r="I328" s="6">
        <f>'прил.16'!I106</f>
        <v>882.8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5.75" customHeight="1">
      <c r="A329" s="45" t="s">
        <v>496</v>
      </c>
      <c r="B329" s="39"/>
      <c r="C329" s="5" t="s">
        <v>529</v>
      </c>
      <c r="D329" s="5" t="s">
        <v>529</v>
      </c>
      <c r="E329" s="5" t="s">
        <v>799</v>
      </c>
      <c r="F329" s="5"/>
      <c r="G329" s="6">
        <f>G330</f>
        <v>192.8</v>
      </c>
      <c r="H329" s="6">
        <f>H330</f>
        <v>192.8</v>
      </c>
      <c r="I329" s="6">
        <f>I330</f>
        <v>192.8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15.75" customHeight="1">
      <c r="A330" s="45" t="s">
        <v>13</v>
      </c>
      <c r="B330" s="39"/>
      <c r="C330" s="5" t="s">
        <v>529</v>
      </c>
      <c r="D330" s="5" t="s">
        <v>529</v>
      </c>
      <c r="E330" s="5" t="s">
        <v>799</v>
      </c>
      <c r="F330" s="5" t="s">
        <v>572</v>
      </c>
      <c r="G330" s="6">
        <f>'прил.16'!G108</f>
        <v>192.8</v>
      </c>
      <c r="H330" s="6">
        <f>'прил.16'!H108</f>
        <v>192.8</v>
      </c>
      <c r="I330" s="6">
        <f>'прил.16'!I108</f>
        <v>192.8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5.75" customHeight="1">
      <c r="A331" s="41" t="s">
        <v>566</v>
      </c>
      <c r="B331" s="39"/>
      <c r="C331" s="5" t="s">
        <v>529</v>
      </c>
      <c r="D331" s="5" t="s">
        <v>529</v>
      </c>
      <c r="E331" s="5" t="s">
        <v>798</v>
      </c>
      <c r="F331" s="5"/>
      <c r="G331" s="6">
        <f>G332</f>
        <v>4688</v>
      </c>
      <c r="H331" s="6">
        <f>H332</f>
        <v>4787.6</v>
      </c>
      <c r="I331" s="6">
        <f>I332</f>
        <v>4889.6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5.75" customHeight="1">
      <c r="A332" s="45" t="s">
        <v>13</v>
      </c>
      <c r="B332" s="39"/>
      <c r="C332" s="5" t="s">
        <v>529</v>
      </c>
      <c r="D332" s="5" t="s">
        <v>529</v>
      </c>
      <c r="E332" s="5" t="s">
        <v>798</v>
      </c>
      <c r="F332" s="5" t="s">
        <v>572</v>
      </c>
      <c r="G332" s="6">
        <f>'прил.16'!G110</f>
        <v>4688</v>
      </c>
      <c r="H332" s="6">
        <f>'прил.16'!H110</f>
        <v>4787.6</v>
      </c>
      <c r="I332" s="6">
        <f>'прил.16'!I110</f>
        <v>4889.6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8" customHeight="1" hidden="1">
      <c r="A333" s="41" t="s">
        <v>694</v>
      </c>
      <c r="B333" s="39">
        <v>805</v>
      </c>
      <c r="C333" s="5" t="s">
        <v>529</v>
      </c>
      <c r="D333" s="5" t="s">
        <v>529</v>
      </c>
      <c r="E333" s="5" t="s">
        <v>494</v>
      </c>
      <c r="F333" s="5"/>
      <c r="G333" s="6">
        <f>G334</f>
        <v>10000</v>
      </c>
      <c r="H333" s="6">
        <f>H334</f>
        <v>0</v>
      </c>
      <c r="I333" s="6">
        <f>I334</f>
        <v>0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8.75" customHeight="1" hidden="1">
      <c r="A334" s="45" t="s">
        <v>695</v>
      </c>
      <c r="B334" s="39">
        <v>810</v>
      </c>
      <c r="C334" s="5" t="s">
        <v>529</v>
      </c>
      <c r="D334" s="5" t="s">
        <v>529</v>
      </c>
      <c r="E334" s="5" t="s">
        <v>537</v>
      </c>
      <c r="F334" s="5"/>
      <c r="G334" s="6">
        <f>SUM(G335:G337)</f>
        <v>10000</v>
      </c>
      <c r="H334" s="6">
        <f>SUM(H335:H337)</f>
        <v>0</v>
      </c>
      <c r="I334" s="6">
        <f>SUM(I335:I337)</f>
        <v>0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6.5" customHeight="1" hidden="1">
      <c r="A335" s="45" t="s">
        <v>696</v>
      </c>
      <c r="B335" s="39">
        <v>810</v>
      </c>
      <c r="C335" s="5" t="s">
        <v>529</v>
      </c>
      <c r="D335" s="5" t="s">
        <v>529</v>
      </c>
      <c r="E335" s="5" t="s">
        <v>537</v>
      </c>
      <c r="F335" s="5" t="s">
        <v>271</v>
      </c>
      <c r="G335" s="6">
        <f>'прил.16'!G720</f>
        <v>10000</v>
      </c>
      <c r="H335" s="6">
        <f>'прил.16'!H720</f>
        <v>0</v>
      </c>
      <c r="I335" s="6">
        <f>'прил.16'!I720</f>
        <v>0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s="25" customFormat="1" ht="18" customHeight="1" hidden="1">
      <c r="A336" s="53" t="s">
        <v>213</v>
      </c>
      <c r="B336" s="39">
        <v>810</v>
      </c>
      <c r="C336" s="5" t="s">
        <v>529</v>
      </c>
      <c r="D336" s="5" t="s">
        <v>529</v>
      </c>
      <c r="E336" s="5" t="s">
        <v>537</v>
      </c>
      <c r="F336" s="5" t="s">
        <v>212</v>
      </c>
      <c r="G336" s="6">
        <f>'прил.16'!G721</f>
        <v>0</v>
      </c>
      <c r="H336" s="6">
        <f>'прил.16'!H721</f>
        <v>0</v>
      </c>
      <c r="I336" s="6">
        <f>'прил.16'!I721</f>
        <v>0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s="26" customFormat="1" ht="18" customHeight="1" hidden="1">
      <c r="A337" s="45" t="s">
        <v>560</v>
      </c>
      <c r="B337" s="39">
        <v>810</v>
      </c>
      <c r="C337" s="5" t="s">
        <v>529</v>
      </c>
      <c r="D337" s="5" t="s">
        <v>529</v>
      </c>
      <c r="E337" s="5" t="s">
        <v>537</v>
      </c>
      <c r="F337" s="5" t="s">
        <v>559</v>
      </c>
      <c r="G337" s="6">
        <f>'прил.16'!G336+'прил.16'!G113+'прил.16'!G175+'прил.16'!G235+'прил.16'!G267+'прил.16'!G417+'прил.16'!G533+'прил.16'!G565+'прил.16'!G656+'прил.16'!G656+'прил.16'!G722+'прил.16'!G837+'прил.16'!G848</f>
        <v>0</v>
      </c>
      <c r="H337" s="6">
        <f>'прил.16'!H336+'прил.16'!H113+'прил.16'!H175+'прил.16'!H235+'прил.16'!H267+'прил.16'!H417+'прил.16'!H533+'прил.16'!H565+'прил.16'!H656+'прил.16'!H656+'прил.16'!H722+'прил.16'!H837+'прил.16'!H848</f>
        <v>0</v>
      </c>
      <c r="I337" s="6">
        <f>'прил.16'!I336+'прил.16'!I113+'прил.16'!I175+'прил.16'!I235+'прил.16'!I267+'прил.16'!I417+'прил.16'!I533+'прил.16'!I565+'прил.16'!I656+'прил.16'!I656+'прил.16'!I722+'прил.16'!I837+'прил.16'!I848</f>
        <v>0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21.75" customHeight="1">
      <c r="A338" s="62" t="s">
        <v>394</v>
      </c>
      <c r="B338" s="39"/>
      <c r="C338" s="5" t="s">
        <v>529</v>
      </c>
      <c r="D338" s="5" t="s">
        <v>529</v>
      </c>
      <c r="E338" s="5" t="s">
        <v>395</v>
      </c>
      <c r="F338" s="5"/>
      <c r="G338" s="6">
        <f aca="true" t="shared" si="31" ref="G338:I339">G339</f>
        <v>0</v>
      </c>
      <c r="H338" s="6">
        <f t="shared" si="31"/>
        <v>907</v>
      </c>
      <c r="I338" s="6">
        <f t="shared" si="31"/>
        <v>6599.9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36" customHeight="1">
      <c r="A339" s="57" t="s">
        <v>697</v>
      </c>
      <c r="B339" s="39"/>
      <c r="C339" s="5" t="s">
        <v>529</v>
      </c>
      <c r="D339" s="5" t="s">
        <v>529</v>
      </c>
      <c r="E339" s="5" t="s">
        <v>32</v>
      </c>
      <c r="F339" s="5"/>
      <c r="G339" s="6">
        <f t="shared" si="31"/>
        <v>0</v>
      </c>
      <c r="H339" s="6">
        <f t="shared" si="31"/>
        <v>907</v>
      </c>
      <c r="I339" s="6">
        <f t="shared" si="31"/>
        <v>6599.9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8" customHeight="1">
      <c r="A340" s="42" t="s">
        <v>523</v>
      </c>
      <c r="B340" s="39"/>
      <c r="C340" s="5" t="s">
        <v>529</v>
      </c>
      <c r="D340" s="5" t="s">
        <v>529</v>
      </c>
      <c r="E340" s="5" t="s">
        <v>32</v>
      </c>
      <c r="F340" s="5" t="s">
        <v>120</v>
      </c>
      <c r="G340" s="6">
        <f>'прил.16'!G725</f>
        <v>0</v>
      </c>
      <c r="H340" s="6">
        <f>'прил.16'!H725</f>
        <v>907</v>
      </c>
      <c r="I340" s="6">
        <f>'прил.16'!I725</f>
        <v>6599.9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21.75" customHeight="1">
      <c r="A341" s="41" t="s">
        <v>653</v>
      </c>
      <c r="B341" s="39"/>
      <c r="C341" s="5" t="s">
        <v>529</v>
      </c>
      <c r="D341" s="5" t="s">
        <v>529</v>
      </c>
      <c r="E341" s="5" t="s">
        <v>30</v>
      </c>
      <c r="F341" s="5"/>
      <c r="G341" s="6">
        <f aca="true" t="shared" si="32" ref="G341:I342">G342</f>
        <v>6391.3</v>
      </c>
      <c r="H341" s="6">
        <f t="shared" si="32"/>
        <v>6071.6</v>
      </c>
      <c r="I341" s="6">
        <f t="shared" si="32"/>
        <v>6071.6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21.75" customHeight="1">
      <c r="A342" s="41" t="s">
        <v>684</v>
      </c>
      <c r="B342" s="39"/>
      <c r="C342" s="5" t="s">
        <v>529</v>
      </c>
      <c r="D342" s="5" t="s">
        <v>529</v>
      </c>
      <c r="E342" s="5" t="s">
        <v>33</v>
      </c>
      <c r="F342" s="5"/>
      <c r="G342" s="6">
        <f t="shared" si="32"/>
        <v>6391.3</v>
      </c>
      <c r="H342" s="6">
        <f t="shared" si="32"/>
        <v>6071.6</v>
      </c>
      <c r="I342" s="6">
        <f t="shared" si="32"/>
        <v>6071.6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101.25" customHeight="1">
      <c r="A343" s="41" t="s">
        <v>608</v>
      </c>
      <c r="B343" s="39"/>
      <c r="C343" s="5" t="s">
        <v>529</v>
      </c>
      <c r="D343" s="5" t="s">
        <v>529</v>
      </c>
      <c r="E343" s="5" t="s">
        <v>35</v>
      </c>
      <c r="F343" s="5"/>
      <c r="G343" s="6">
        <f>G344</f>
        <v>6391.3</v>
      </c>
      <c r="H343" s="6">
        <f>SUM(H344)</f>
        <v>6071.6</v>
      </c>
      <c r="I343" s="6">
        <f>I344</f>
        <v>6071.6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21.75" customHeight="1">
      <c r="A344" s="53" t="s">
        <v>645</v>
      </c>
      <c r="B344" s="39"/>
      <c r="C344" s="5" t="s">
        <v>529</v>
      </c>
      <c r="D344" s="5" t="s">
        <v>529</v>
      </c>
      <c r="E344" s="5" t="s">
        <v>35</v>
      </c>
      <c r="F344" s="5" t="s">
        <v>212</v>
      </c>
      <c r="G344" s="6">
        <f>'прил.16'!G340</f>
        <v>6391.3</v>
      </c>
      <c r="H344" s="6">
        <f>'прил.16'!H340</f>
        <v>6071.6</v>
      </c>
      <c r="I344" s="6">
        <f>'прил.16'!I340</f>
        <v>6071.6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18" customHeight="1">
      <c r="A345" s="45" t="s">
        <v>364</v>
      </c>
      <c r="B345" s="39">
        <v>801</v>
      </c>
      <c r="C345" s="5" t="s">
        <v>529</v>
      </c>
      <c r="D345" s="5" t="s">
        <v>529</v>
      </c>
      <c r="E345" s="5" t="s">
        <v>358</v>
      </c>
      <c r="F345" s="5"/>
      <c r="G345" s="6">
        <f>G347</f>
        <v>700</v>
      </c>
      <c r="H345" s="6">
        <f>H347</f>
        <v>990</v>
      </c>
      <c r="I345" s="6">
        <f>I347</f>
        <v>990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18" customHeight="1">
      <c r="A346" s="45" t="s">
        <v>394</v>
      </c>
      <c r="B346" s="39">
        <v>801</v>
      </c>
      <c r="C346" s="5" t="s">
        <v>529</v>
      </c>
      <c r="D346" s="5" t="s">
        <v>529</v>
      </c>
      <c r="E346" s="5" t="s">
        <v>359</v>
      </c>
      <c r="F346" s="5"/>
      <c r="G346" s="6">
        <f aca="true" t="shared" si="33" ref="G346:I347">G347</f>
        <v>700</v>
      </c>
      <c r="H346" s="6">
        <f t="shared" si="33"/>
        <v>990</v>
      </c>
      <c r="I346" s="6">
        <f t="shared" si="33"/>
        <v>990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8" customHeight="1">
      <c r="A347" s="45" t="s">
        <v>216</v>
      </c>
      <c r="B347" s="39">
        <v>801</v>
      </c>
      <c r="C347" s="5" t="s">
        <v>529</v>
      </c>
      <c r="D347" s="5" t="s">
        <v>529</v>
      </c>
      <c r="E347" s="5" t="s">
        <v>369</v>
      </c>
      <c r="F347" s="5"/>
      <c r="G347" s="6">
        <f t="shared" si="33"/>
        <v>700</v>
      </c>
      <c r="H347" s="6">
        <f t="shared" si="33"/>
        <v>990</v>
      </c>
      <c r="I347" s="6">
        <f t="shared" si="33"/>
        <v>990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21.75" customHeight="1">
      <c r="A348" s="41" t="s">
        <v>361</v>
      </c>
      <c r="B348" s="39">
        <v>801</v>
      </c>
      <c r="C348" s="5" t="s">
        <v>529</v>
      </c>
      <c r="D348" s="5" t="s">
        <v>529</v>
      </c>
      <c r="E348" s="5" t="s">
        <v>369</v>
      </c>
      <c r="F348" s="5" t="s">
        <v>214</v>
      </c>
      <c r="G348" s="6">
        <f>'прил.16'!G117</f>
        <v>700</v>
      </c>
      <c r="H348" s="6">
        <f>'прил.16'!H117</f>
        <v>990</v>
      </c>
      <c r="I348" s="6">
        <f>'прил.16'!I117</f>
        <v>990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20.25" customHeight="1">
      <c r="A349" s="45" t="s">
        <v>698</v>
      </c>
      <c r="B349" s="39">
        <v>805</v>
      </c>
      <c r="C349" s="5" t="s">
        <v>529</v>
      </c>
      <c r="D349" s="5" t="s">
        <v>57</v>
      </c>
      <c r="E349" s="5"/>
      <c r="F349" s="5"/>
      <c r="G349" s="6">
        <f>G350+G353+G369+G374+G395+G392</f>
        <v>197706.6</v>
      </c>
      <c r="H349" s="6">
        <f>H350+H353+H369+H374+H395+H392</f>
        <v>73002.2</v>
      </c>
      <c r="I349" s="6">
        <f>I350+I353+I369+I374+I395+I392</f>
        <v>78963.4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38.25" customHeight="1">
      <c r="A350" s="41" t="s">
        <v>42</v>
      </c>
      <c r="B350" s="39">
        <v>805</v>
      </c>
      <c r="C350" s="5" t="s">
        <v>529</v>
      </c>
      <c r="D350" s="5" t="s">
        <v>57</v>
      </c>
      <c r="E350" s="5" t="s">
        <v>43</v>
      </c>
      <c r="F350" s="5"/>
      <c r="G350" s="6">
        <f aca="true" t="shared" si="34" ref="G350:I351">G351</f>
        <v>12645</v>
      </c>
      <c r="H350" s="6">
        <f t="shared" si="34"/>
        <v>12684.300000000001</v>
      </c>
      <c r="I350" s="6">
        <f t="shared" si="34"/>
        <v>12750.400000000001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16.5">
      <c r="A351" s="41" t="s">
        <v>589</v>
      </c>
      <c r="B351" s="39">
        <v>805</v>
      </c>
      <c r="C351" s="5" t="s">
        <v>602</v>
      </c>
      <c r="D351" s="5" t="s">
        <v>151</v>
      </c>
      <c r="E351" s="5" t="s">
        <v>45</v>
      </c>
      <c r="F351" s="5"/>
      <c r="G351" s="6">
        <f t="shared" si="34"/>
        <v>12645</v>
      </c>
      <c r="H351" s="6">
        <f t="shared" si="34"/>
        <v>12684.300000000001</v>
      </c>
      <c r="I351" s="6">
        <f t="shared" si="34"/>
        <v>12750.400000000001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6.5">
      <c r="A352" s="41" t="s">
        <v>361</v>
      </c>
      <c r="B352" s="39">
        <v>805</v>
      </c>
      <c r="C352" s="5" t="s">
        <v>529</v>
      </c>
      <c r="D352" s="5" t="s">
        <v>57</v>
      </c>
      <c r="E352" s="5" t="s">
        <v>45</v>
      </c>
      <c r="F352" s="5" t="s">
        <v>214</v>
      </c>
      <c r="G352" s="6">
        <f>'прил.16'!G344</f>
        <v>12645</v>
      </c>
      <c r="H352" s="6">
        <f>'прил.16'!H344</f>
        <v>12684.300000000001</v>
      </c>
      <c r="I352" s="6">
        <f>'прил.16'!I344</f>
        <v>12750.400000000001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33" hidden="1">
      <c r="A353" s="41" t="s">
        <v>665</v>
      </c>
      <c r="B353" s="39">
        <v>841</v>
      </c>
      <c r="C353" s="5" t="s">
        <v>529</v>
      </c>
      <c r="D353" s="5" t="s">
        <v>57</v>
      </c>
      <c r="E353" s="5" t="s">
        <v>406</v>
      </c>
      <c r="F353" s="5"/>
      <c r="G353" s="6">
        <f>G354+G360</f>
        <v>110470.8</v>
      </c>
      <c r="H353" s="6">
        <f>H354+H360</f>
        <v>0</v>
      </c>
      <c r="I353" s="6">
        <f>I354+I360</f>
        <v>0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51" customHeight="1" hidden="1">
      <c r="A354" s="41" t="s">
        <v>74</v>
      </c>
      <c r="B354" s="39">
        <v>841</v>
      </c>
      <c r="C354" s="5" t="s">
        <v>529</v>
      </c>
      <c r="D354" s="5" t="s">
        <v>57</v>
      </c>
      <c r="E354" s="5" t="s">
        <v>71</v>
      </c>
      <c r="F354" s="5"/>
      <c r="G354" s="6">
        <f>G355</f>
        <v>0</v>
      </c>
      <c r="H354" s="6">
        <f>H355</f>
        <v>0</v>
      </c>
      <c r="I354" s="6">
        <f>I355</f>
        <v>0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33" hidden="1">
      <c r="A355" s="41" t="s">
        <v>407</v>
      </c>
      <c r="B355" s="39">
        <v>841</v>
      </c>
      <c r="C355" s="5" t="s">
        <v>529</v>
      </c>
      <c r="D355" s="5" t="s">
        <v>57</v>
      </c>
      <c r="E355" s="5" t="s">
        <v>408</v>
      </c>
      <c r="F355" s="5"/>
      <c r="G355" s="6">
        <f>SUM(G356:G359)</f>
        <v>0</v>
      </c>
      <c r="H355" s="6">
        <f>SUM(H356:H359)</f>
        <v>0</v>
      </c>
      <c r="I355" s="6">
        <f>SUM(I356:I359)</f>
        <v>0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6.5" hidden="1">
      <c r="A356" s="41" t="s">
        <v>785</v>
      </c>
      <c r="B356" s="39">
        <v>841</v>
      </c>
      <c r="C356" s="5" t="s">
        <v>529</v>
      </c>
      <c r="D356" s="5" t="s">
        <v>57</v>
      </c>
      <c r="E356" s="5" t="s">
        <v>408</v>
      </c>
      <c r="F356" s="5" t="s">
        <v>85</v>
      </c>
      <c r="G356" s="6">
        <f>'прил.16'!G985</f>
        <v>0</v>
      </c>
      <c r="H356" s="6">
        <f>'прил.16'!H985</f>
        <v>0</v>
      </c>
      <c r="I356" s="6">
        <f>'прил.16'!I985</f>
        <v>0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33" hidden="1">
      <c r="A357" s="41" t="s">
        <v>354</v>
      </c>
      <c r="B357" s="39">
        <v>841</v>
      </c>
      <c r="C357" s="5" t="s">
        <v>529</v>
      </c>
      <c r="D357" s="5" t="s">
        <v>57</v>
      </c>
      <c r="E357" s="5" t="s">
        <v>408</v>
      </c>
      <c r="F357" s="5" t="s">
        <v>86</v>
      </c>
      <c r="G357" s="6">
        <f>'прил.16'!G986</f>
        <v>0</v>
      </c>
      <c r="H357" s="6">
        <f>'прил.16'!H986</f>
        <v>0</v>
      </c>
      <c r="I357" s="6">
        <f>'прил.16'!I986</f>
        <v>0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33" hidden="1">
      <c r="A358" s="41" t="s">
        <v>267</v>
      </c>
      <c r="B358" s="39">
        <v>841</v>
      </c>
      <c r="C358" s="5" t="s">
        <v>529</v>
      </c>
      <c r="D358" s="5" t="s">
        <v>57</v>
      </c>
      <c r="E358" s="5" t="s">
        <v>408</v>
      </c>
      <c r="F358" s="5" t="s">
        <v>87</v>
      </c>
      <c r="G358" s="6">
        <f>'прил.16'!G987</f>
        <v>0</v>
      </c>
      <c r="H358" s="6">
        <f>'прил.16'!H987</f>
        <v>0</v>
      </c>
      <c r="I358" s="6">
        <f>'прил.16'!I987</f>
        <v>0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33" hidden="1">
      <c r="A359" s="41" t="s">
        <v>268</v>
      </c>
      <c r="B359" s="39">
        <v>841</v>
      </c>
      <c r="C359" s="5" t="s">
        <v>529</v>
      </c>
      <c r="D359" s="5" t="s">
        <v>57</v>
      </c>
      <c r="E359" s="5" t="s">
        <v>408</v>
      </c>
      <c r="F359" s="5" t="s">
        <v>88</v>
      </c>
      <c r="G359" s="6">
        <f>'прил.16'!G988</f>
        <v>0</v>
      </c>
      <c r="H359" s="6">
        <f>'прил.16'!H988</f>
        <v>0</v>
      </c>
      <c r="I359" s="6">
        <f>'прил.16'!I988</f>
        <v>0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16.5" hidden="1">
      <c r="A360" s="41" t="s">
        <v>769</v>
      </c>
      <c r="B360" s="39">
        <v>841</v>
      </c>
      <c r="C360" s="5" t="s">
        <v>529</v>
      </c>
      <c r="D360" s="5" t="s">
        <v>57</v>
      </c>
      <c r="E360" s="5" t="s">
        <v>817</v>
      </c>
      <c r="F360" s="5"/>
      <c r="G360" s="6">
        <f>G361+G363+G365+G367</f>
        <v>110470.8</v>
      </c>
      <c r="H360" s="6">
        <f>H361+H363+H365+H367</f>
        <v>0</v>
      </c>
      <c r="I360" s="6">
        <f>I361+I363+I365+I367</f>
        <v>0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6.5" hidden="1">
      <c r="A361" s="41" t="s">
        <v>674</v>
      </c>
      <c r="B361" s="39">
        <v>841</v>
      </c>
      <c r="C361" s="5" t="s">
        <v>529</v>
      </c>
      <c r="D361" s="5" t="s">
        <v>57</v>
      </c>
      <c r="E361" s="5" t="s">
        <v>820</v>
      </c>
      <c r="F361" s="5"/>
      <c r="G361" s="6">
        <f>G362</f>
        <v>5070.8</v>
      </c>
      <c r="H361" s="6">
        <f>H362</f>
        <v>0</v>
      </c>
      <c r="I361" s="6">
        <f>I362</f>
        <v>0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6.5" hidden="1">
      <c r="A362" s="20" t="s">
        <v>679</v>
      </c>
      <c r="B362" s="39">
        <v>841</v>
      </c>
      <c r="C362" s="5" t="s">
        <v>529</v>
      </c>
      <c r="D362" s="5" t="s">
        <v>57</v>
      </c>
      <c r="E362" s="5" t="s">
        <v>820</v>
      </c>
      <c r="F362" s="5" t="s">
        <v>4</v>
      </c>
      <c r="G362" s="6">
        <f>'прил.16'!G991</f>
        <v>5070.8</v>
      </c>
      <c r="H362" s="6">
        <f>'прил.16'!H991</f>
        <v>0</v>
      </c>
      <c r="I362" s="6">
        <f>'прил.16'!I991</f>
        <v>0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33" hidden="1">
      <c r="A363" s="20" t="s">
        <v>699</v>
      </c>
      <c r="B363" s="39">
        <v>841</v>
      </c>
      <c r="C363" s="5" t="s">
        <v>529</v>
      </c>
      <c r="D363" s="5" t="s">
        <v>57</v>
      </c>
      <c r="E363" s="5" t="s">
        <v>825</v>
      </c>
      <c r="F363" s="5"/>
      <c r="G363" s="6">
        <f>G364</f>
        <v>91700</v>
      </c>
      <c r="H363" s="6">
        <f>H364</f>
        <v>0</v>
      </c>
      <c r="I363" s="6">
        <f>I364</f>
        <v>0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16.5" hidden="1">
      <c r="A364" s="20" t="s">
        <v>679</v>
      </c>
      <c r="B364" s="39">
        <v>841</v>
      </c>
      <c r="C364" s="5" t="s">
        <v>529</v>
      </c>
      <c r="D364" s="5" t="s">
        <v>57</v>
      </c>
      <c r="E364" s="5" t="s">
        <v>825</v>
      </c>
      <c r="F364" s="5" t="s">
        <v>4</v>
      </c>
      <c r="G364" s="6">
        <f>'прил.16'!G993</f>
        <v>91700</v>
      </c>
      <c r="H364" s="6">
        <f>'прил.16'!H993</f>
        <v>0</v>
      </c>
      <c r="I364" s="6">
        <f>'прил.16'!I993</f>
        <v>0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6.5" hidden="1">
      <c r="A365" s="20" t="s">
        <v>544</v>
      </c>
      <c r="B365" s="39">
        <v>841</v>
      </c>
      <c r="C365" s="5" t="s">
        <v>529</v>
      </c>
      <c r="D365" s="5" t="s">
        <v>57</v>
      </c>
      <c r="E365" s="5" t="s">
        <v>826</v>
      </c>
      <c r="F365" s="5"/>
      <c r="G365" s="6">
        <f>G366</f>
        <v>10700</v>
      </c>
      <c r="H365" s="6">
        <f>H366</f>
        <v>0</v>
      </c>
      <c r="I365" s="6">
        <f>I366</f>
        <v>0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16.5" hidden="1">
      <c r="A366" s="20" t="s">
        <v>679</v>
      </c>
      <c r="B366" s="39">
        <v>841</v>
      </c>
      <c r="C366" s="5" t="s">
        <v>529</v>
      </c>
      <c r="D366" s="5" t="s">
        <v>57</v>
      </c>
      <c r="E366" s="5" t="s">
        <v>826</v>
      </c>
      <c r="F366" s="5" t="s">
        <v>4</v>
      </c>
      <c r="G366" s="6">
        <f>'прил.16'!G995</f>
        <v>10700</v>
      </c>
      <c r="H366" s="6">
        <f>'прил.16'!H995</f>
        <v>0</v>
      </c>
      <c r="I366" s="6">
        <f>'прил.16'!I995</f>
        <v>0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6.5" hidden="1">
      <c r="A367" s="20" t="s">
        <v>288</v>
      </c>
      <c r="B367" s="39"/>
      <c r="C367" s="5" t="s">
        <v>529</v>
      </c>
      <c r="D367" s="5" t="s">
        <v>57</v>
      </c>
      <c r="E367" s="5" t="s">
        <v>289</v>
      </c>
      <c r="F367" s="5"/>
      <c r="G367" s="6">
        <f>G368</f>
        <v>3000</v>
      </c>
      <c r="H367" s="6">
        <f>H368</f>
        <v>0</v>
      </c>
      <c r="I367" s="6">
        <f>I368</f>
        <v>0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6.5" hidden="1">
      <c r="A368" s="20" t="s">
        <v>679</v>
      </c>
      <c r="B368" s="39"/>
      <c r="C368" s="5" t="s">
        <v>529</v>
      </c>
      <c r="D368" s="5" t="s">
        <v>57</v>
      </c>
      <c r="E368" s="5" t="s">
        <v>289</v>
      </c>
      <c r="F368" s="5" t="s">
        <v>4</v>
      </c>
      <c r="G368" s="6">
        <f>'прил.16'!G997</f>
        <v>3000</v>
      </c>
      <c r="H368" s="6">
        <f>'прил.16'!H997</f>
        <v>0</v>
      </c>
      <c r="I368" s="6">
        <f>'прил.16'!I997</f>
        <v>0</v>
      </c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51" customHeight="1">
      <c r="A369" s="41" t="s">
        <v>700</v>
      </c>
      <c r="B369" s="39">
        <v>805</v>
      </c>
      <c r="C369" s="5" t="s">
        <v>529</v>
      </c>
      <c r="D369" s="5" t="s">
        <v>57</v>
      </c>
      <c r="E369" s="5" t="s">
        <v>555</v>
      </c>
      <c r="F369" s="5"/>
      <c r="G369" s="6">
        <f>G370+G372</f>
        <v>47975.9</v>
      </c>
      <c r="H369" s="6">
        <f>H370+H372</f>
        <v>48192.3</v>
      </c>
      <c r="I369" s="6">
        <f>I370+I372</f>
        <v>48577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6.5">
      <c r="A370" s="45" t="s">
        <v>593</v>
      </c>
      <c r="B370" s="39">
        <v>805</v>
      </c>
      <c r="C370" s="5" t="s">
        <v>529</v>
      </c>
      <c r="D370" s="5" t="s">
        <v>57</v>
      </c>
      <c r="E370" s="5" t="s">
        <v>500</v>
      </c>
      <c r="F370" s="5"/>
      <c r="G370" s="6">
        <f>G371</f>
        <v>469.3</v>
      </c>
      <c r="H370" s="6">
        <f>H371</f>
        <v>469.3</v>
      </c>
      <c r="I370" s="6">
        <f>I371</f>
        <v>469.3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6.5">
      <c r="A371" s="41" t="s">
        <v>13</v>
      </c>
      <c r="B371" s="39">
        <v>805</v>
      </c>
      <c r="C371" s="5" t="s">
        <v>529</v>
      </c>
      <c r="D371" s="5" t="s">
        <v>57</v>
      </c>
      <c r="E371" s="5" t="s">
        <v>500</v>
      </c>
      <c r="F371" s="5" t="s">
        <v>572</v>
      </c>
      <c r="G371" s="6">
        <f>'прил.16'!G347</f>
        <v>469.3</v>
      </c>
      <c r="H371" s="6">
        <f>'прил.16'!H347</f>
        <v>469.3</v>
      </c>
      <c r="I371" s="6">
        <f>'прил.16'!I347</f>
        <v>469.3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6.5">
      <c r="A372" s="45" t="s">
        <v>566</v>
      </c>
      <c r="B372" s="39">
        <v>805</v>
      </c>
      <c r="C372" s="5" t="s">
        <v>529</v>
      </c>
      <c r="D372" s="5" t="s">
        <v>57</v>
      </c>
      <c r="E372" s="5" t="s">
        <v>556</v>
      </c>
      <c r="F372" s="5"/>
      <c r="G372" s="6">
        <f>G373</f>
        <v>47506.6</v>
      </c>
      <c r="H372" s="6">
        <f>H373</f>
        <v>47723</v>
      </c>
      <c r="I372" s="6">
        <f>I373</f>
        <v>48107.7</v>
      </c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6.5">
      <c r="A373" s="41" t="s">
        <v>13</v>
      </c>
      <c r="B373" s="39">
        <v>805</v>
      </c>
      <c r="C373" s="5" t="s">
        <v>529</v>
      </c>
      <c r="D373" s="5" t="s">
        <v>57</v>
      </c>
      <c r="E373" s="5" t="s">
        <v>556</v>
      </c>
      <c r="F373" s="5" t="s">
        <v>572</v>
      </c>
      <c r="G373" s="6">
        <f>'прил.16'!G349+'прил.16'!G892</f>
        <v>47506.6</v>
      </c>
      <c r="H373" s="6">
        <f>'прил.16'!H349+'прил.16'!H892</f>
        <v>47723</v>
      </c>
      <c r="I373" s="6">
        <f>'прил.16'!I349+'прил.16'!I892</f>
        <v>48107.7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9.5" customHeight="1">
      <c r="A374" s="41" t="s">
        <v>394</v>
      </c>
      <c r="B374" s="39">
        <v>805</v>
      </c>
      <c r="C374" s="5" t="s">
        <v>529</v>
      </c>
      <c r="D374" s="5" t="s">
        <v>57</v>
      </c>
      <c r="E374" s="5" t="s">
        <v>395</v>
      </c>
      <c r="F374" s="5"/>
      <c r="G374" s="6">
        <f>G375+G382+G380+G386+G388+G384+G390</f>
        <v>4708.8</v>
      </c>
      <c r="H374" s="6">
        <f>H375+H382+H380+H386+H388+H384+H390</f>
        <v>2817.4</v>
      </c>
      <c r="I374" s="6">
        <f>I375+I382+I380+I386+I388+I384+I390</f>
        <v>6523.299999999999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38.25" customHeight="1" hidden="1">
      <c r="A375" s="20" t="s">
        <v>284</v>
      </c>
      <c r="B375" s="39"/>
      <c r="C375" s="5" t="s">
        <v>529</v>
      </c>
      <c r="D375" s="5" t="s">
        <v>57</v>
      </c>
      <c r="E375" s="5" t="s">
        <v>282</v>
      </c>
      <c r="F375" s="5"/>
      <c r="G375" s="6">
        <f>G376+G378</f>
        <v>0</v>
      </c>
      <c r="H375" s="6">
        <f>H376+H378</f>
        <v>0</v>
      </c>
      <c r="I375" s="6">
        <f>I376+I378</f>
        <v>0</v>
      </c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51" customHeight="1" hidden="1">
      <c r="A376" s="20" t="s">
        <v>285</v>
      </c>
      <c r="B376" s="39">
        <v>805</v>
      </c>
      <c r="C376" s="5" t="s">
        <v>529</v>
      </c>
      <c r="D376" s="5" t="s">
        <v>57</v>
      </c>
      <c r="E376" s="5" t="s">
        <v>298</v>
      </c>
      <c r="F376" s="5"/>
      <c r="G376" s="6">
        <f>G377</f>
        <v>0</v>
      </c>
      <c r="H376" s="6">
        <f>H377</f>
        <v>0</v>
      </c>
      <c r="I376" s="6">
        <f>I377</f>
        <v>0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7.25" customHeight="1" hidden="1">
      <c r="A377" s="41" t="s">
        <v>522</v>
      </c>
      <c r="B377" s="39">
        <v>805</v>
      </c>
      <c r="C377" s="5" t="s">
        <v>529</v>
      </c>
      <c r="D377" s="5" t="s">
        <v>57</v>
      </c>
      <c r="E377" s="5" t="s">
        <v>298</v>
      </c>
      <c r="F377" s="5" t="s">
        <v>120</v>
      </c>
      <c r="G377" s="6">
        <f>'прил.16'!G353</f>
        <v>0</v>
      </c>
      <c r="H377" s="6">
        <f>'прил.16'!H353</f>
        <v>0</v>
      </c>
      <c r="I377" s="6">
        <f>'прил.16'!I353</f>
        <v>0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51" customHeight="1" hidden="1">
      <c r="A378" s="20" t="s">
        <v>518</v>
      </c>
      <c r="B378" s="39">
        <v>805</v>
      </c>
      <c r="C378" s="5" t="s">
        <v>529</v>
      </c>
      <c r="D378" s="5" t="s">
        <v>57</v>
      </c>
      <c r="E378" s="5" t="s">
        <v>299</v>
      </c>
      <c r="F378" s="5"/>
      <c r="G378" s="6">
        <f>G379</f>
        <v>0</v>
      </c>
      <c r="H378" s="6">
        <f>H379</f>
        <v>0</v>
      </c>
      <c r="I378" s="6">
        <f>I379</f>
        <v>0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8.75" customHeight="1" hidden="1">
      <c r="A379" s="41" t="s">
        <v>522</v>
      </c>
      <c r="B379" s="39">
        <v>805</v>
      </c>
      <c r="C379" s="5" t="s">
        <v>529</v>
      </c>
      <c r="D379" s="5" t="s">
        <v>57</v>
      </c>
      <c r="E379" s="5" t="s">
        <v>299</v>
      </c>
      <c r="F379" s="5" t="s">
        <v>120</v>
      </c>
      <c r="G379" s="6">
        <f>'прил.16'!G355</f>
        <v>0</v>
      </c>
      <c r="H379" s="6">
        <f>'прил.16'!H355</f>
        <v>0</v>
      </c>
      <c r="I379" s="6">
        <f>'прил.16'!I355</f>
        <v>0</v>
      </c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18.75" customHeight="1" hidden="1">
      <c r="A380" s="20" t="s">
        <v>787</v>
      </c>
      <c r="B380" s="39">
        <v>805</v>
      </c>
      <c r="C380" s="5" t="s">
        <v>529</v>
      </c>
      <c r="D380" s="5" t="s">
        <v>57</v>
      </c>
      <c r="E380" s="5" t="s">
        <v>301</v>
      </c>
      <c r="F380" s="5"/>
      <c r="G380" s="6">
        <f>G381</f>
        <v>0</v>
      </c>
      <c r="H380" s="6">
        <f>H381</f>
        <v>0</v>
      </c>
      <c r="I380" s="6">
        <f>I381</f>
        <v>0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18.75" customHeight="1" hidden="1">
      <c r="A381" s="41" t="s">
        <v>522</v>
      </c>
      <c r="B381" s="39">
        <v>805</v>
      </c>
      <c r="C381" s="5" t="s">
        <v>529</v>
      </c>
      <c r="D381" s="5" t="s">
        <v>57</v>
      </c>
      <c r="E381" s="5" t="s">
        <v>301</v>
      </c>
      <c r="F381" s="5" t="s">
        <v>120</v>
      </c>
      <c r="G381" s="6">
        <f>'прил.16'!G357</f>
        <v>0</v>
      </c>
      <c r="H381" s="6">
        <f>'прил.16'!H357</f>
        <v>0</v>
      </c>
      <c r="I381" s="6">
        <f>'прил.16'!I357</f>
        <v>0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33" customHeight="1" hidden="1">
      <c r="A382" s="20" t="s">
        <v>786</v>
      </c>
      <c r="B382" s="39">
        <v>805</v>
      </c>
      <c r="C382" s="5" t="s">
        <v>529</v>
      </c>
      <c r="D382" s="5" t="s">
        <v>57</v>
      </c>
      <c r="E382" s="5" t="s">
        <v>300</v>
      </c>
      <c r="F382" s="5"/>
      <c r="G382" s="6">
        <f>G383</f>
        <v>0</v>
      </c>
      <c r="H382" s="6">
        <f>H383</f>
        <v>0</v>
      </c>
      <c r="I382" s="6">
        <f>I383</f>
        <v>0</v>
      </c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19.5" customHeight="1" hidden="1">
      <c r="A383" s="41" t="s">
        <v>522</v>
      </c>
      <c r="B383" s="39">
        <v>805</v>
      </c>
      <c r="C383" s="5" t="s">
        <v>529</v>
      </c>
      <c r="D383" s="5" t="s">
        <v>57</v>
      </c>
      <c r="E383" s="5" t="s">
        <v>300</v>
      </c>
      <c r="F383" s="5" t="s">
        <v>120</v>
      </c>
      <c r="G383" s="6">
        <f>'прил.16'!G359</f>
        <v>0</v>
      </c>
      <c r="H383" s="6">
        <f>'прил.16'!H359</f>
        <v>0</v>
      </c>
      <c r="I383" s="6">
        <f>'прил.16'!I359</f>
        <v>0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36" customHeight="1">
      <c r="A384" s="42" t="s">
        <v>611</v>
      </c>
      <c r="B384" s="39"/>
      <c r="C384" s="5" t="s">
        <v>529</v>
      </c>
      <c r="D384" s="5" t="s">
        <v>57</v>
      </c>
      <c r="E384" s="5" t="s">
        <v>479</v>
      </c>
      <c r="F384" s="5"/>
      <c r="G384" s="6">
        <f>SUM(G385)</f>
        <v>2573</v>
      </c>
      <c r="H384" s="6">
        <f>SUM(H385)</f>
        <v>2727.4</v>
      </c>
      <c r="I384" s="6">
        <f>SUM(I385)</f>
        <v>2874.7</v>
      </c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9.5" customHeight="1">
      <c r="A385" s="42" t="s">
        <v>522</v>
      </c>
      <c r="B385" s="39"/>
      <c r="C385" s="5" t="s">
        <v>529</v>
      </c>
      <c r="D385" s="5" t="s">
        <v>57</v>
      </c>
      <c r="E385" s="5" t="s">
        <v>479</v>
      </c>
      <c r="F385" s="5" t="s">
        <v>120</v>
      </c>
      <c r="G385" s="6">
        <f>'прил.16'!G361</f>
        <v>2573</v>
      </c>
      <c r="H385" s="6">
        <f>'прил.16'!H361</f>
        <v>2727.4</v>
      </c>
      <c r="I385" s="6">
        <f>'прил.16'!I361</f>
        <v>2874.7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33" hidden="1">
      <c r="A386" s="45" t="s">
        <v>243</v>
      </c>
      <c r="B386" s="39"/>
      <c r="C386" s="5" t="s">
        <v>529</v>
      </c>
      <c r="D386" s="5" t="s">
        <v>57</v>
      </c>
      <c r="E386" s="5" t="s">
        <v>229</v>
      </c>
      <c r="F386" s="5"/>
      <c r="G386" s="6">
        <f>G387</f>
        <v>0</v>
      </c>
      <c r="H386" s="6">
        <f>H387</f>
        <v>0</v>
      </c>
      <c r="I386" s="6">
        <f>I387</f>
        <v>0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16.5" hidden="1">
      <c r="A387" s="20" t="s">
        <v>18</v>
      </c>
      <c r="B387" s="39"/>
      <c r="C387" s="5" t="s">
        <v>529</v>
      </c>
      <c r="D387" s="5" t="s">
        <v>57</v>
      </c>
      <c r="E387" s="5" t="s">
        <v>229</v>
      </c>
      <c r="F387" s="5" t="s">
        <v>85</v>
      </c>
      <c r="G387" s="6"/>
      <c r="H387" s="6"/>
      <c r="I387" s="6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33">
      <c r="A388" s="45" t="s">
        <v>701</v>
      </c>
      <c r="B388" s="39"/>
      <c r="C388" s="5" t="s">
        <v>529</v>
      </c>
      <c r="D388" s="5" t="s">
        <v>57</v>
      </c>
      <c r="E388" s="5" t="s">
        <v>443</v>
      </c>
      <c r="F388" s="43"/>
      <c r="G388" s="6">
        <f>G389</f>
        <v>159</v>
      </c>
      <c r="H388" s="6">
        <f>H389</f>
        <v>90</v>
      </c>
      <c r="I388" s="6">
        <f>I389</f>
        <v>285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16.5">
      <c r="A389" s="42" t="s">
        <v>522</v>
      </c>
      <c r="B389" s="39"/>
      <c r="C389" s="5" t="s">
        <v>529</v>
      </c>
      <c r="D389" s="5" t="s">
        <v>57</v>
      </c>
      <c r="E389" s="5" t="s">
        <v>443</v>
      </c>
      <c r="F389" s="43" t="s">
        <v>120</v>
      </c>
      <c r="G389" s="6">
        <f>'прил.16'!G569</f>
        <v>159</v>
      </c>
      <c r="H389" s="6">
        <f>'прил.16'!H569</f>
        <v>90</v>
      </c>
      <c r="I389" s="6">
        <f>'прил.16'!I569</f>
        <v>285</v>
      </c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33">
      <c r="A390" s="42" t="s">
        <v>702</v>
      </c>
      <c r="B390" s="39"/>
      <c r="C390" s="5" t="s">
        <v>529</v>
      </c>
      <c r="D390" s="5" t="s">
        <v>57</v>
      </c>
      <c r="E390" s="5" t="s">
        <v>452</v>
      </c>
      <c r="F390" s="43"/>
      <c r="G390" s="6">
        <f>G391</f>
        <v>1976.8</v>
      </c>
      <c r="H390" s="6">
        <f>H391</f>
        <v>0</v>
      </c>
      <c r="I390" s="6">
        <f>I391</f>
        <v>3363.6</v>
      </c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16.5">
      <c r="A391" s="42" t="s">
        <v>522</v>
      </c>
      <c r="B391" s="39"/>
      <c r="C391" s="5" t="s">
        <v>529</v>
      </c>
      <c r="D391" s="5" t="s">
        <v>57</v>
      </c>
      <c r="E391" s="5" t="s">
        <v>452</v>
      </c>
      <c r="F391" s="43" t="s">
        <v>120</v>
      </c>
      <c r="G391" s="6">
        <f>'прил.16'!G363</f>
        <v>1976.8</v>
      </c>
      <c r="H391" s="6">
        <f>'прил.16'!H363</f>
        <v>0</v>
      </c>
      <c r="I391" s="6">
        <f>'прил.16'!I363</f>
        <v>3363.6</v>
      </c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6.5">
      <c r="A392" s="41" t="s">
        <v>653</v>
      </c>
      <c r="B392" s="39"/>
      <c r="C392" s="5" t="s">
        <v>529</v>
      </c>
      <c r="D392" s="5" t="s">
        <v>57</v>
      </c>
      <c r="E392" s="5" t="s">
        <v>30</v>
      </c>
      <c r="F392" s="5"/>
      <c r="G392" s="6">
        <f aca="true" t="shared" si="35" ref="G392:I393">G393</f>
        <v>5034.9</v>
      </c>
      <c r="H392" s="6">
        <f t="shared" si="35"/>
        <v>4798.7</v>
      </c>
      <c r="I392" s="6">
        <f t="shared" si="35"/>
        <v>4798.7</v>
      </c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33">
      <c r="A393" s="42" t="s">
        <v>610</v>
      </c>
      <c r="B393" s="39"/>
      <c r="C393" s="5" t="s">
        <v>529</v>
      </c>
      <c r="D393" s="5" t="s">
        <v>57</v>
      </c>
      <c r="E393" s="5" t="s">
        <v>188</v>
      </c>
      <c r="F393" s="5"/>
      <c r="G393" s="6">
        <f t="shared" si="35"/>
        <v>5034.9</v>
      </c>
      <c r="H393" s="6">
        <f t="shared" si="35"/>
        <v>4798.7</v>
      </c>
      <c r="I393" s="6">
        <f t="shared" si="35"/>
        <v>4798.7</v>
      </c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6.5">
      <c r="A394" s="57" t="s">
        <v>645</v>
      </c>
      <c r="B394" s="39"/>
      <c r="C394" s="5" t="s">
        <v>529</v>
      </c>
      <c r="D394" s="5" t="s">
        <v>57</v>
      </c>
      <c r="E394" s="5" t="s">
        <v>188</v>
      </c>
      <c r="F394" s="5" t="s">
        <v>212</v>
      </c>
      <c r="G394" s="6">
        <f>'прил.16'!G366</f>
        <v>5034.9</v>
      </c>
      <c r="H394" s="6">
        <f>'прил.16'!H366</f>
        <v>4798.7</v>
      </c>
      <c r="I394" s="6">
        <f>'прил.16'!I366</f>
        <v>4798.7</v>
      </c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16.5">
      <c r="A395" s="45" t="s">
        <v>364</v>
      </c>
      <c r="B395" s="39">
        <v>805</v>
      </c>
      <c r="C395" s="5" t="s">
        <v>529</v>
      </c>
      <c r="D395" s="5" t="s">
        <v>57</v>
      </c>
      <c r="E395" s="5" t="s">
        <v>358</v>
      </c>
      <c r="F395" s="5"/>
      <c r="G395" s="6">
        <f>G396+G403</f>
        <v>16871.2</v>
      </c>
      <c r="H395" s="6">
        <f>H396+H403</f>
        <v>4509.5</v>
      </c>
      <c r="I395" s="6">
        <f>I396+I403</f>
        <v>6314</v>
      </c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16.5">
      <c r="A396" s="45" t="s">
        <v>394</v>
      </c>
      <c r="B396" s="39"/>
      <c r="C396" s="5" t="s">
        <v>529</v>
      </c>
      <c r="D396" s="5" t="s">
        <v>57</v>
      </c>
      <c r="E396" s="5" t="s">
        <v>359</v>
      </c>
      <c r="F396" s="5"/>
      <c r="G396" s="6">
        <f>G397+G399+G401</f>
        <v>15135.800000000001</v>
      </c>
      <c r="H396" s="6">
        <f>H397+H399+H401</f>
        <v>2774.1</v>
      </c>
      <c r="I396" s="6">
        <f>I397+I399+I401</f>
        <v>4578.6</v>
      </c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19.5" customHeight="1">
      <c r="A397" s="45" t="s">
        <v>217</v>
      </c>
      <c r="B397" s="39">
        <v>805</v>
      </c>
      <c r="C397" s="5" t="s">
        <v>554</v>
      </c>
      <c r="D397" s="5" t="s">
        <v>57</v>
      </c>
      <c r="E397" s="5" t="s">
        <v>369</v>
      </c>
      <c r="F397" s="5"/>
      <c r="G397" s="6">
        <f>G398</f>
        <v>1890</v>
      </c>
      <c r="H397" s="6">
        <f>H398</f>
        <v>1777.1</v>
      </c>
      <c r="I397" s="6">
        <f>I398</f>
        <v>1442.1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6.5">
      <c r="A398" s="41" t="s">
        <v>522</v>
      </c>
      <c r="B398" s="39">
        <v>805</v>
      </c>
      <c r="C398" s="5" t="s">
        <v>554</v>
      </c>
      <c r="D398" s="5" t="s">
        <v>57</v>
      </c>
      <c r="E398" s="5" t="s">
        <v>369</v>
      </c>
      <c r="F398" s="5" t="s">
        <v>120</v>
      </c>
      <c r="G398" s="6">
        <f>'прил.16'!G370+'прил.16'!G573</f>
        <v>1890</v>
      </c>
      <c r="H398" s="6">
        <f>'прил.16'!H370+'прил.16'!H573</f>
        <v>1777.1</v>
      </c>
      <c r="I398" s="6">
        <f>'прил.16'!I370+'прил.16'!I573</f>
        <v>1442.1</v>
      </c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6.5" customHeight="1">
      <c r="A399" s="45" t="s">
        <v>781</v>
      </c>
      <c r="B399" s="39">
        <v>805</v>
      </c>
      <c r="C399" s="5" t="s">
        <v>554</v>
      </c>
      <c r="D399" s="5" t="s">
        <v>57</v>
      </c>
      <c r="E399" s="5" t="s">
        <v>365</v>
      </c>
      <c r="F399" s="5"/>
      <c r="G399" s="6">
        <f>G400</f>
        <v>1058.1</v>
      </c>
      <c r="H399" s="6">
        <f>H400</f>
        <v>997</v>
      </c>
      <c r="I399" s="6">
        <f>I400</f>
        <v>3136.5</v>
      </c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17.25" customHeight="1">
      <c r="A400" s="41" t="s">
        <v>522</v>
      </c>
      <c r="B400" s="39">
        <v>805</v>
      </c>
      <c r="C400" s="5" t="s">
        <v>554</v>
      </c>
      <c r="D400" s="5" t="s">
        <v>57</v>
      </c>
      <c r="E400" s="5" t="s">
        <v>365</v>
      </c>
      <c r="F400" s="5" t="s">
        <v>120</v>
      </c>
      <c r="G400" s="6">
        <f>'прил.16'!G372</f>
        <v>1058.1</v>
      </c>
      <c r="H400" s="6">
        <f>'прил.16'!H372</f>
        <v>997</v>
      </c>
      <c r="I400" s="6">
        <f>'прил.16'!I372</f>
        <v>3136.5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17.25" customHeight="1" hidden="1">
      <c r="A401" s="45" t="s">
        <v>788</v>
      </c>
      <c r="B401" s="58">
        <v>809</v>
      </c>
      <c r="C401" s="43" t="s">
        <v>529</v>
      </c>
      <c r="D401" s="43" t="s">
        <v>57</v>
      </c>
      <c r="E401" s="5" t="s">
        <v>363</v>
      </c>
      <c r="F401" s="5"/>
      <c r="G401" s="6">
        <f>SUM(G402:G402)</f>
        <v>12187.7</v>
      </c>
      <c r="H401" s="6">
        <f>SUM(H402:H402)</f>
        <v>0</v>
      </c>
      <c r="I401" s="6">
        <f>SUM(I402:I402)</f>
        <v>0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s="25" customFormat="1" ht="17.25" customHeight="1" hidden="1">
      <c r="A402" s="41" t="s">
        <v>522</v>
      </c>
      <c r="B402" s="39">
        <v>841</v>
      </c>
      <c r="C402" s="5" t="s">
        <v>529</v>
      </c>
      <c r="D402" s="5" t="s">
        <v>57</v>
      </c>
      <c r="E402" s="5" t="s">
        <v>363</v>
      </c>
      <c r="F402" s="5" t="s">
        <v>120</v>
      </c>
      <c r="G402" s="6">
        <f>'прил.16'!G374+'прил.16'!G665+'прил.16'!G896</f>
        <v>12187.7</v>
      </c>
      <c r="H402" s="6">
        <f>'прил.16'!H374+'прил.16'!H665</f>
        <v>0</v>
      </c>
      <c r="I402" s="6">
        <f>'прил.16'!I374+'прил.16'!I665</f>
        <v>0</v>
      </c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9" s="13" customFormat="1" ht="17.25" customHeight="1">
      <c r="A403" s="41" t="s">
        <v>22</v>
      </c>
      <c r="B403" s="58"/>
      <c r="C403" s="43" t="s">
        <v>529</v>
      </c>
      <c r="D403" s="43" t="s">
        <v>57</v>
      </c>
      <c r="E403" s="5" t="s">
        <v>557</v>
      </c>
      <c r="F403" s="5"/>
      <c r="G403" s="6">
        <f aca="true" t="shared" si="36" ref="G403:I404">G404</f>
        <v>1735.4</v>
      </c>
      <c r="H403" s="6">
        <f t="shared" si="36"/>
        <v>1735.4</v>
      </c>
      <c r="I403" s="6">
        <f t="shared" si="36"/>
        <v>1735.4</v>
      </c>
    </row>
    <row r="404" spans="1:9" s="13" customFormat="1" ht="17.25" customHeight="1">
      <c r="A404" s="45" t="s">
        <v>703</v>
      </c>
      <c r="B404" s="58"/>
      <c r="C404" s="43" t="s">
        <v>529</v>
      </c>
      <c r="D404" s="43" t="s">
        <v>57</v>
      </c>
      <c r="E404" s="5" t="s">
        <v>371</v>
      </c>
      <c r="F404" s="5"/>
      <c r="G404" s="6">
        <f t="shared" si="36"/>
        <v>1735.4</v>
      </c>
      <c r="H404" s="6">
        <f t="shared" si="36"/>
        <v>1735.4</v>
      </c>
      <c r="I404" s="6">
        <f t="shared" si="36"/>
        <v>1735.4</v>
      </c>
    </row>
    <row r="405" spans="1:9" s="13" customFormat="1" ht="17.25" customHeight="1">
      <c r="A405" s="41" t="s">
        <v>522</v>
      </c>
      <c r="B405" s="58"/>
      <c r="C405" s="5" t="s">
        <v>529</v>
      </c>
      <c r="D405" s="5" t="s">
        <v>57</v>
      </c>
      <c r="E405" s="5" t="s">
        <v>371</v>
      </c>
      <c r="F405" s="5" t="s">
        <v>120</v>
      </c>
      <c r="G405" s="6">
        <f>'прил.16'!G377</f>
        <v>1735.4</v>
      </c>
      <c r="H405" s="6">
        <f>'прил.16'!H377</f>
        <v>1735.4</v>
      </c>
      <c r="I405" s="6">
        <f>'прил.16'!I377</f>
        <v>1735.4</v>
      </c>
    </row>
    <row r="406" spans="1:23" ht="16.5">
      <c r="A406" s="45" t="s">
        <v>516</v>
      </c>
      <c r="B406" s="45"/>
      <c r="C406" s="5" t="s">
        <v>60</v>
      </c>
      <c r="D406" s="5"/>
      <c r="E406" s="5"/>
      <c r="F406" s="5"/>
      <c r="G406" s="6">
        <f>G407+G442</f>
        <v>222955.90000000002</v>
      </c>
      <c r="H406" s="6">
        <f>H407+H442</f>
        <v>200345.50000000003</v>
      </c>
      <c r="I406" s="6">
        <f>I407+I442</f>
        <v>203659.3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6.5">
      <c r="A407" s="45" t="s">
        <v>704</v>
      </c>
      <c r="B407" s="39">
        <v>808</v>
      </c>
      <c r="C407" s="5" t="s">
        <v>60</v>
      </c>
      <c r="D407" s="5" t="s">
        <v>807</v>
      </c>
      <c r="E407" s="5"/>
      <c r="F407" s="5"/>
      <c r="G407" s="6">
        <f>G408+G415+G420+G425+G430+G433</f>
        <v>209583.00000000003</v>
      </c>
      <c r="H407" s="6">
        <f>H408+H415+H420+H425+H430+H433</f>
        <v>186702.40000000002</v>
      </c>
      <c r="I407" s="6">
        <f>I408+I415+I420+I425+I430+I433</f>
        <v>189904.9</v>
      </c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20.25" customHeight="1">
      <c r="A408" s="41" t="s">
        <v>652</v>
      </c>
      <c r="B408" s="39">
        <v>808</v>
      </c>
      <c r="C408" s="5" t="s">
        <v>60</v>
      </c>
      <c r="D408" s="5" t="s">
        <v>807</v>
      </c>
      <c r="E408" s="5" t="s">
        <v>160</v>
      </c>
      <c r="F408" s="5"/>
      <c r="G408" s="6">
        <f>G409+G411</f>
        <v>80203.7</v>
      </c>
      <c r="H408" s="6">
        <f>H409+H411</f>
        <v>78151.6</v>
      </c>
      <c r="I408" s="6">
        <f>I409+I411</f>
        <v>79351</v>
      </c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6.5">
      <c r="A409" s="45" t="s">
        <v>593</v>
      </c>
      <c r="B409" s="39">
        <v>808</v>
      </c>
      <c r="C409" s="5" t="s">
        <v>60</v>
      </c>
      <c r="D409" s="5" t="s">
        <v>807</v>
      </c>
      <c r="E409" s="5" t="s">
        <v>505</v>
      </c>
      <c r="F409" s="5"/>
      <c r="G409" s="6">
        <f>G410</f>
        <v>1465</v>
      </c>
      <c r="H409" s="6">
        <f>H410</f>
        <v>1465</v>
      </c>
      <c r="I409" s="6">
        <f>I410</f>
        <v>1465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6.5">
      <c r="A410" s="41" t="s">
        <v>13</v>
      </c>
      <c r="B410" s="39">
        <v>808</v>
      </c>
      <c r="C410" s="5" t="s">
        <v>60</v>
      </c>
      <c r="D410" s="5" t="s">
        <v>807</v>
      </c>
      <c r="E410" s="5" t="s">
        <v>505</v>
      </c>
      <c r="F410" s="5" t="s">
        <v>572</v>
      </c>
      <c r="G410" s="6">
        <f>'прил.16'!G578</f>
        <v>1465</v>
      </c>
      <c r="H410" s="6">
        <f>'прил.16'!H578</f>
        <v>1465</v>
      </c>
      <c r="I410" s="6">
        <f>'прил.16'!I578</f>
        <v>1465</v>
      </c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7.25" customHeight="1">
      <c r="A411" s="45" t="s">
        <v>566</v>
      </c>
      <c r="B411" s="39">
        <v>808</v>
      </c>
      <c r="C411" s="5" t="s">
        <v>60</v>
      </c>
      <c r="D411" s="5" t="s">
        <v>807</v>
      </c>
      <c r="E411" s="5" t="s">
        <v>161</v>
      </c>
      <c r="F411" s="5"/>
      <c r="G411" s="6">
        <f>G412+G413+G414</f>
        <v>78738.7</v>
      </c>
      <c r="H411" s="6">
        <f>H412+H413+H414</f>
        <v>76686.6</v>
      </c>
      <c r="I411" s="6">
        <f>I412+I413+I414</f>
        <v>77886</v>
      </c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18" customHeight="1">
      <c r="A412" s="41" t="s">
        <v>159</v>
      </c>
      <c r="B412" s="39">
        <v>808</v>
      </c>
      <c r="C412" s="5" t="s">
        <v>60</v>
      </c>
      <c r="D412" s="5" t="s">
        <v>807</v>
      </c>
      <c r="E412" s="5" t="s">
        <v>161</v>
      </c>
      <c r="F412" s="5" t="s">
        <v>572</v>
      </c>
      <c r="G412" s="6">
        <f>'прил.16'!G580</f>
        <v>78738.7</v>
      </c>
      <c r="H412" s="6">
        <f>'прил.16'!H580</f>
        <v>76686.6</v>
      </c>
      <c r="I412" s="6">
        <f>'прил.16'!I580</f>
        <v>77886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33" customHeight="1" hidden="1">
      <c r="A413" s="139" t="s">
        <v>581</v>
      </c>
      <c r="B413" s="59">
        <v>808</v>
      </c>
      <c r="C413" s="21" t="s">
        <v>60</v>
      </c>
      <c r="D413" s="21" t="s">
        <v>807</v>
      </c>
      <c r="E413" s="21" t="s">
        <v>161</v>
      </c>
      <c r="F413" s="21" t="s">
        <v>580</v>
      </c>
      <c r="G413" s="6">
        <f>'прил.16'!G581</f>
        <v>0</v>
      </c>
      <c r="H413" s="6">
        <f>'прил.16'!H581</f>
        <v>0</v>
      </c>
      <c r="I413" s="6">
        <f>'прил.16'!I581</f>
        <v>0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8" customHeight="1" hidden="1">
      <c r="A414" s="140" t="s">
        <v>587</v>
      </c>
      <c r="B414" s="39">
        <v>808</v>
      </c>
      <c r="C414" s="5" t="s">
        <v>60</v>
      </c>
      <c r="D414" s="5" t="s">
        <v>807</v>
      </c>
      <c r="E414" s="5" t="s">
        <v>161</v>
      </c>
      <c r="F414" s="5" t="s">
        <v>588</v>
      </c>
      <c r="G414" s="6">
        <f>'прил.16'!G582</f>
        <v>0</v>
      </c>
      <c r="H414" s="6">
        <f>'прил.16'!H582</f>
        <v>0</v>
      </c>
      <c r="I414" s="6">
        <f>'прил.16'!I582</f>
        <v>0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6.5">
      <c r="A415" s="45" t="s">
        <v>705</v>
      </c>
      <c r="B415" s="39">
        <v>808</v>
      </c>
      <c r="C415" s="5" t="s">
        <v>60</v>
      </c>
      <c r="D415" s="5" t="s">
        <v>807</v>
      </c>
      <c r="E415" s="5" t="s">
        <v>162</v>
      </c>
      <c r="F415" s="5"/>
      <c r="G415" s="6">
        <f>G416+G418</f>
        <v>38799.799999999996</v>
      </c>
      <c r="H415" s="6">
        <f>H416+H418</f>
        <v>34459.7</v>
      </c>
      <c r="I415" s="6">
        <f>I416+I418</f>
        <v>35335.1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7.25" customHeight="1">
      <c r="A416" s="45" t="s">
        <v>593</v>
      </c>
      <c r="B416" s="39">
        <v>808</v>
      </c>
      <c r="C416" s="5" t="s">
        <v>60</v>
      </c>
      <c r="D416" s="5" t="s">
        <v>807</v>
      </c>
      <c r="E416" s="5" t="s">
        <v>506</v>
      </c>
      <c r="F416" s="5"/>
      <c r="G416" s="6">
        <f>G417</f>
        <v>1331.6</v>
      </c>
      <c r="H416" s="6">
        <f>H417</f>
        <v>1331.6</v>
      </c>
      <c r="I416" s="6">
        <f>I417</f>
        <v>1331.6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6.5">
      <c r="A417" s="41" t="s">
        <v>13</v>
      </c>
      <c r="B417" s="39">
        <v>808</v>
      </c>
      <c r="C417" s="5" t="s">
        <v>60</v>
      </c>
      <c r="D417" s="5" t="s">
        <v>807</v>
      </c>
      <c r="E417" s="5" t="s">
        <v>506</v>
      </c>
      <c r="F417" s="5" t="s">
        <v>572</v>
      </c>
      <c r="G417" s="6">
        <f>'прил.16'!G585</f>
        <v>1331.6</v>
      </c>
      <c r="H417" s="6">
        <f>'прил.16'!H585</f>
        <v>1331.6</v>
      </c>
      <c r="I417" s="6">
        <f>'прил.16'!I585</f>
        <v>1331.6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16.5">
      <c r="A418" s="45" t="s">
        <v>566</v>
      </c>
      <c r="B418" s="39">
        <v>808</v>
      </c>
      <c r="C418" s="5" t="s">
        <v>60</v>
      </c>
      <c r="D418" s="5" t="s">
        <v>807</v>
      </c>
      <c r="E418" s="5" t="s">
        <v>163</v>
      </c>
      <c r="F418" s="5"/>
      <c r="G418" s="6">
        <f>G419</f>
        <v>37468.2</v>
      </c>
      <c r="H418" s="6">
        <f>H419</f>
        <v>33128.1</v>
      </c>
      <c r="I418" s="6">
        <f>I419</f>
        <v>34003.5</v>
      </c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20.25" customHeight="1">
      <c r="A419" s="41" t="s">
        <v>159</v>
      </c>
      <c r="B419" s="39">
        <v>808</v>
      </c>
      <c r="C419" s="5" t="s">
        <v>60</v>
      </c>
      <c r="D419" s="5" t="s">
        <v>807</v>
      </c>
      <c r="E419" s="5" t="s">
        <v>163</v>
      </c>
      <c r="F419" s="5" t="s">
        <v>572</v>
      </c>
      <c r="G419" s="6">
        <f>'прил.16'!G587+'прил.16'!G901</f>
        <v>37468.2</v>
      </c>
      <c r="H419" s="6">
        <f>'прил.16'!H587+'прил.16'!H901</f>
        <v>33128.1</v>
      </c>
      <c r="I419" s="6">
        <f>'прил.16'!I587+'прил.16'!I901</f>
        <v>34003.5</v>
      </c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6.5" customHeight="1">
      <c r="A420" s="45" t="s">
        <v>706</v>
      </c>
      <c r="B420" s="39">
        <v>808</v>
      </c>
      <c r="C420" s="5" t="s">
        <v>60</v>
      </c>
      <c r="D420" s="5" t="s">
        <v>807</v>
      </c>
      <c r="E420" s="5" t="s">
        <v>164</v>
      </c>
      <c r="F420" s="5"/>
      <c r="G420" s="6">
        <f>G421+G423</f>
        <v>40265.200000000004</v>
      </c>
      <c r="H420" s="6">
        <f>H421+H423</f>
        <v>33288.3</v>
      </c>
      <c r="I420" s="6">
        <f>I421+I423</f>
        <v>33785.100000000006</v>
      </c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6.5">
      <c r="A421" s="45" t="s">
        <v>593</v>
      </c>
      <c r="B421" s="39">
        <v>808</v>
      </c>
      <c r="C421" s="5" t="s">
        <v>60</v>
      </c>
      <c r="D421" s="5" t="s">
        <v>807</v>
      </c>
      <c r="E421" s="5" t="s">
        <v>520</v>
      </c>
      <c r="F421" s="5"/>
      <c r="G421" s="6">
        <f>G422</f>
        <v>459.3</v>
      </c>
      <c r="H421" s="6">
        <f>H422</f>
        <v>459.3</v>
      </c>
      <c r="I421" s="6">
        <f>I422</f>
        <v>459.3</v>
      </c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7.25" customHeight="1">
      <c r="A422" s="41" t="s">
        <v>13</v>
      </c>
      <c r="B422" s="39">
        <v>808</v>
      </c>
      <c r="C422" s="5" t="s">
        <v>60</v>
      </c>
      <c r="D422" s="5" t="s">
        <v>807</v>
      </c>
      <c r="E422" s="5" t="s">
        <v>520</v>
      </c>
      <c r="F422" s="5" t="s">
        <v>572</v>
      </c>
      <c r="G422" s="6">
        <f>'прил.16'!G590</f>
        <v>459.3</v>
      </c>
      <c r="H422" s="6">
        <f>'прил.16'!H590</f>
        <v>459.3</v>
      </c>
      <c r="I422" s="6">
        <f>'прил.16'!I590</f>
        <v>459.3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20.25" customHeight="1">
      <c r="A423" s="45" t="s">
        <v>566</v>
      </c>
      <c r="B423" s="39">
        <v>808</v>
      </c>
      <c r="C423" s="5" t="s">
        <v>60</v>
      </c>
      <c r="D423" s="5" t="s">
        <v>807</v>
      </c>
      <c r="E423" s="5" t="s">
        <v>165</v>
      </c>
      <c r="F423" s="5"/>
      <c r="G423" s="6">
        <f>G424</f>
        <v>39805.9</v>
      </c>
      <c r="H423" s="6">
        <f>H424</f>
        <v>32829</v>
      </c>
      <c r="I423" s="6">
        <f>I424</f>
        <v>33325.8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s="25" customFormat="1" ht="19.5" customHeight="1">
      <c r="A424" s="41" t="s">
        <v>159</v>
      </c>
      <c r="B424" s="39">
        <v>808</v>
      </c>
      <c r="C424" s="5" t="s">
        <v>60</v>
      </c>
      <c r="D424" s="5" t="s">
        <v>807</v>
      </c>
      <c r="E424" s="5" t="s">
        <v>165</v>
      </c>
      <c r="F424" s="5" t="s">
        <v>572</v>
      </c>
      <c r="G424" s="6">
        <f>'прил.16'!G592</f>
        <v>39805.9</v>
      </c>
      <c r="H424" s="6">
        <f>'прил.16'!H592</f>
        <v>32829</v>
      </c>
      <c r="I424" s="6">
        <f>'прил.16'!I592</f>
        <v>33325.8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s="26" customFormat="1" ht="18" customHeight="1">
      <c r="A425" s="41" t="s">
        <v>707</v>
      </c>
      <c r="B425" s="39">
        <v>808</v>
      </c>
      <c r="C425" s="5" t="s">
        <v>60</v>
      </c>
      <c r="D425" s="5" t="s">
        <v>807</v>
      </c>
      <c r="E425" s="5" t="s">
        <v>177</v>
      </c>
      <c r="F425" s="5"/>
      <c r="G425" s="6">
        <f>G426+G428</f>
        <v>41137.600000000006</v>
      </c>
      <c r="H425" s="6">
        <f>H426+H428</f>
        <v>37470.8</v>
      </c>
      <c r="I425" s="6">
        <f>I426+I428</f>
        <v>37728.3</v>
      </c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7.25" customHeight="1">
      <c r="A426" s="45" t="s">
        <v>593</v>
      </c>
      <c r="B426" s="39">
        <v>808</v>
      </c>
      <c r="C426" s="5" t="s">
        <v>60</v>
      </c>
      <c r="D426" s="5" t="s">
        <v>807</v>
      </c>
      <c r="E426" s="5" t="s">
        <v>521</v>
      </c>
      <c r="F426" s="5"/>
      <c r="G426" s="6">
        <f>G427</f>
        <v>335.8</v>
      </c>
      <c r="H426" s="6">
        <f>H427</f>
        <v>335.8</v>
      </c>
      <c r="I426" s="6">
        <f>I427</f>
        <v>335.8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17.25" customHeight="1">
      <c r="A427" s="41" t="s">
        <v>13</v>
      </c>
      <c r="B427" s="39">
        <v>808</v>
      </c>
      <c r="C427" s="5" t="s">
        <v>60</v>
      </c>
      <c r="D427" s="5" t="s">
        <v>807</v>
      </c>
      <c r="E427" s="5" t="s">
        <v>521</v>
      </c>
      <c r="F427" s="5" t="s">
        <v>572</v>
      </c>
      <c r="G427" s="6">
        <f>'прил.16'!G595</f>
        <v>335.8</v>
      </c>
      <c r="H427" s="6">
        <f>'прил.16'!H595</f>
        <v>335.8</v>
      </c>
      <c r="I427" s="6">
        <f>'прил.16'!I595</f>
        <v>335.8</v>
      </c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6.5">
      <c r="A428" s="45" t="s">
        <v>566</v>
      </c>
      <c r="B428" s="39">
        <v>808</v>
      </c>
      <c r="C428" s="5" t="s">
        <v>60</v>
      </c>
      <c r="D428" s="5" t="s">
        <v>807</v>
      </c>
      <c r="E428" s="5" t="s">
        <v>178</v>
      </c>
      <c r="F428" s="5"/>
      <c r="G428" s="6">
        <f>G429</f>
        <v>40801.8</v>
      </c>
      <c r="H428" s="6">
        <f>H429</f>
        <v>37135</v>
      </c>
      <c r="I428" s="6">
        <f>I429</f>
        <v>37392.5</v>
      </c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6.5">
      <c r="A429" s="41" t="s">
        <v>159</v>
      </c>
      <c r="B429" s="39">
        <v>808</v>
      </c>
      <c r="C429" s="5" t="s">
        <v>60</v>
      </c>
      <c r="D429" s="5" t="s">
        <v>807</v>
      </c>
      <c r="E429" s="5" t="s">
        <v>178</v>
      </c>
      <c r="F429" s="5" t="s">
        <v>572</v>
      </c>
      <c r="G429" s="6">
        <f>'прил.16'!G597</f>
        <v>40801.8</v>
      </c>
      <c r="H429" s="6">
        <f>'прил.16'!H597</f>
        <v>37135</v>
      </c>
      <c r="I429" s="6">
        <f>'прил.16'!I597</f>
        <v>37392.5</v>
      </c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21.75" customHeight="1">
      <c r="A430" s="41" t="s">
        <v>708</v>
      </c>
      <c r="B430" s="39">
        <v>808</v>
      </c>
      <c r="C430" s="5" t="s">
        <v>60</v>
      </c>
      <c r="D430" s="5" t="s">
        <v>807</v>
      </c>
      <c r="E430" s="5" t="s">
        <v>179</v>
      </c>
      <c r="F430" s="5"/>
      <c r="G430" s="6">
        <f aca="true" t="shared" si="37" ref="G430:I431">G431</f>
        <v>5582.5</v>
      </c>
      <c r="H430" s="6">
        <f t="shared" si="37"/>
        <v>3175</v>
      </c>
      <c r="I430" s="6">
        <f t="shared" si="37"/>
        <v>3317.9</v>
      </c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19.5" customHeight="1">
      <c r="A431" s="20" t="s">
        <v>709</v>
      </c>
      <c r="B431" s="39">
        <v>808</v>
      </c>
      <c r="C431" s="5" t="s">
        <v>60</v>
      </c>
      <c r="D431" s="5" t="s">
        <v>807</v>
      </c>
      <c r="E431" s="5" t="s">
        <v>181</v>
      </c>
      <c r="F431" s="5"/>
      <c r="G431" s="6">
        <f t="shared" si="37"/>
        <v>5582.5</v>
      </c>
      <c r="H431" s="6">
        <f t="shared" si="37"/>
        <v>3175</v>
      </c>
      <c r="I431" s="6">
        <f t="shared" si="37"/>
        <v>3317.9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7.25" customHeight="1">
      <c r="A432" s="20" t="s">
        <v>710</v>
      </c>
      <c r="B432" s="39">
        <v>808</v>
      </c>
      <c r="C432" s="5" t="s">
        <v>60</v>
      </c>
      <c r="D432" s="5" t="s">
        <v>807</v>
      </c>
      <c r="E432" s="5" t="s">
        <v>181</v>
      </c>
      <c r="F432" s="5" t="s">
        <v>305</v>
      </c>
      <c r="G432" s="6">
        <f>'прил.16'!G602+'прил.16'!G122+'прил.16'!G382</f>
        <v>5582.5</v>
      </c>
      <c r="H432" s="6">
        <f>'прил.16'!H602+'прил.16'!H122+'прил.16'!H382</f>
        <v>3175</v>
      </c>
      <c r="I432" s="6">
        <f>'прил.16'!I602+'прил.16'!I122+'прил.16'!I382</f>
        <v>3317.9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17.25" customHeight="1">
      <c r="A433" s="42" t="s">
        <v>394</v>
      </c>
      <c r="B433" s="39"/>
      <c r="C433" s="5" t="s">
        <v>60</v>
      </c>
      <c r="D433" s="5" t="s">
        <v>807</v>
      </c>
      <c r="E433" s="5" t="s">
        <v>395</v>
      </c>
      <c r="F433" s="5"/>
      <c r="G433" s="6">
        <f>G434+G436+G438+G440</f>
        <v>3594.2</v>
      </c>
      <c r="H433" s="6">
        <f>H434+H436+H438+H440</f>
        <v>157</v>
      </c>
      <c r="I433" s="6">
        <f>I434+I436+I438+I440</f>
        <v>387.5</v>
      </c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35.25" customHeight="1" hidden="1">
      <c r="A434" s="41" t="s">
        <v>711</v>
      </c>
      <c r="B434" s="39"/>
      <c r="C434" s="5" t="s">
        <v>60</v>
      </c>
      <c r="D434" s="5" t="s">
        <v>807</v>
      </c>
      <c r="E434" s="5" t="s">
        <v>321</v>
      </c>
      <c r="F434" s="5"/>
      <c r="G434" s="6">
        <f>G435</f>
        <v>350</v>
      </c>
      <c r="H434" s="6">
        <f>H435</f>
        <v>0</v>
      </c>
      <c r="I434" s="6">
        <f>I435</f>
        <v>0</v>
      </c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33.75" customHeight="1" hidden="1">
      <c r="A435" s="20" t="s">
        <v>801</v>
      </c>
      <c r="B435" s="39"/>
      <c r="C435" s="5" t="s">
        <v>60</v>
      </c>
      <c r="D435" s="5" t="s">
        <v>807</v>
      </c>
      <c r="E435" s="5" t="s">
        <v>321</v>
      </c>
      <c r="F435" s="5" t="s">
        <v>306</v>
      </c>
      <c r="G435" s="6">
        <f>'прил.16'!G605</f>
        <v>350</v>
      </c>
      <c r="H435" s="6">
        <f>'прил.16'!H605</f>
        <v>0</v>
      </c>
      <c r="I435" s="6">
        <f>'прил.16'!I605</f>
        <v>0</v>
      </c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34.5" customHeight="1" hidden="1">
      <c r="A436" s="20" t="s">
        <v>712</v>
      </c>
      <c r="B436" s="39"/>
      <c r="C436" s="5" t="s">
        <v>60</v>
      </c>
      <c r="D436" s="5" t="s">
        <v>807</v>
      </c>
      <c r="E436" s="5" t="s">
        <v>301</v>
      </c>
      <c r="F436" s="5"/>
      <c r="G436" s="6">
        <f>G437</f>
        <v>2774</v>
      </c>
      <c r="H436" s="6">
        <f>H437</f>
        <v>0</v>
      </c>
      <c r="I436" s="6">
        <f>I437</f>
        <v>0</v>
      </c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35.25" customHeight="1" hidden="1">
      <c r="A437" s="20" t="s">
        <v>801</v>
      </c>
      <c r="B437" s="39"/>
      <c r="C437" s="5" t="s">
        <v>60</v>
      </c>
      <c r="D437" s="5" t="s">
        <v>807</v>
      </c>
      <c r="E437" s="5" t="s">
        <v>301</v>
      </c>
      <c r="F437" s="5" t="s">
        <v>306</v>
      </c>
      <c r="G437" s="6">
        <f>'прил.16'!G607</f>
        <v>2774</v>
      </c>
      <c r="H437" s="6">
        <f>'прил.16'!H607</f>
        <v>0</v>
      </c>
      <c r="I437" s="6">
        <f>'прил.16'!I607</f>
        <v>0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53.25" customHeight="1">
      <c r="A438" s="20" t="s">
        <v>713</v>
      </c>
      <c r="B438" s="39"/>
      <c r="C438" s="5" t="s">
        <v>60</v>
      </c>
      <c r="D438" s="5" t="s">
        <v>807</v>
      </c>
      <c r="E438" s="5" t="s">
        <v>446</v>
      </c>
      <c r="F438" s="5"/>
      <c r="G438" s="6">
        <f>G439</f>
        <v>100</v>
      </c>
      <c r="H438" s="6">
        <f>H439</f>
        <v>100</v>
      </c>
      <c r="I438" s="6">
        <f>I439</f>
        <v>100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35.25" customHeight="1">
      <c r="A439" s="20" t="s">
        <v>801</v>
      </c>
      <c r="B439" s="39"/>
      <c r="C439" s="5" t="s">
        <v>60</v>
      </c>
      <c r="D439" s="5" t="s">
        <v>807</v>
      </c>
      <c r="E439" s="5" t="s">
        <v>446</v>
      </c>
      <c r="F439" s="5" t="s">
        <v>306</v>
      </c>
      <c r="G439" s="6">
        <f>'прил.16'!G609</f>
        <v>100</v>
      </c>
      <c r="H439" s="6">
        <f>'прил.16'!H609</f>
        <v>100</v>
      </c>
      <c r="I439" s="6">
        <f>'прил.16'!I609</f>
        <v>100</v>
      </c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36.75" customHeight="1">
      <c r="A440" s="42" t="s">
        <v>702</v>
      </c>
      <c r="B440" s="39"/>
      <c r="C440" s="5" t="s">
        <v>60</v>
      </c>
      <c r="D440" s="5" t="s">
        <v>807</v>
      </c>
      <c r="E440" s="5" t="s">
        <v>452</v>
      </c>
      <c r="F440" s="5"/>
      <c r="G440" s="6">
        <f>G441</f>
        <v>370.2</v>
      </c>
      <c r="H440" s="6">
        <f>H441</f>
        <v>57</v>
      </c>
      <c r="I440" s="6">
        <f>I441</f>
        <v>287.5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35.25" customHeight="1">
      <c r="A441" s="20" t="s">
        <v>801</v>
      </c>
      <c r="B441" s="39"/>
      <c r="C441" s="5" t="s">
        <v>60</v>
      </c>
      <c r="D441" s="5" t="s">
        <v>807</v>
      </c>
      <c r="E441" s="5" t="s">
        <v>452</v>
      </c>
      <c r="F441" s="5" t="s">
        <v>306</v>
      </c>
      <c r="G441" s="6">
        <f>'прил.16'!G611</f>
        <v>370.2</v>
      </c>
      <c r="H441" s="6">
        <f>'прил.16'!H611</f>
        <v>57</v>
      </c>
      <c r="I441" s="6">
        <f>'прил.16'!I611</f>
        <v>287.5</v>
      </c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20.25" customHeight="1">
      <c r="A442" s="41" t="s">
        <v>714</v>
      </c>
      <c r="B442" s="39">
        <v>808</v>
      </c>
      <c r="C442" s="5" t="s">
        <v>60</v>
      </c>
      <c r="D442" s="5" t="s">
        <v>810</v>
      </c>
      <c r="E442" s="5"/>
      <c r="F442" s="5"/>
      <c r="G442" s="6">
        <f>G443+G446+G456+G461</f>
        <v>13372.9</v>
      </c>
      <c r="H442" s="6">
        <f>H443+H446+H456+H461</f>
        <v>13643.100000000002</v>
      </c>
      <c r="I442" s="6">
        <f>I443+I446+I456+I461</f>
        <v>13754.400000000001</v>
      </c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37.5" customHeight="1">
      <c r="A443" s="41" t="s">
        <v>42</v>
      </c>
      <c r="B443" s="39">
        <v>808</v>
      </c>
      <c r="C443" s="5" t="s">
        <v>60</v>
      </c>
      <c r="D443" s="5" t="s">
        <v>810</v>
      </c>
      <c r="E443" s="5" t="s">
        <v>43</v>
      </c>
      <c r="F443" s="5"/>
      <c r="G443" s="6">
        <f aca="true" t="shared" si="38" ref="G443:I444">G444</f>
        <v>4333</v>
      </c>
      <c r="H443" s="6">
        <f t="shared" si="38"/>
        <v>4283.200000000001</v>
      </c>
      <c r="I443" s="6">
        <f t="shared" si="38"/>
        <v>4294.200000000001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s="25" customFormat="1" ht="17.25" customHeight="1">
      <c r="A444" s="41" t="s">
        <v>589</v>
      </c>
      <c r="B444" s="39">
        <v>808</v>
      </c>
      <c r="C444" s="5" t="s">
        <v>60</v>
      </c>
      <c r="D444" s="5" t="s">
        <v>810</v>
      </c>
      <c r="E444" s="5" t="s">
        <v>45</v>
      </c>
      <c r="F444" s="5"/>
      <c r="G444" s="6">
        <f t="shared" si="38"/>
        <v>4333</v>
      </c>
      <c r="H444" s="6">
        <f t="shared" si="38"/>
        <v>4283.200000000001</v>
      </c>
      <c r="I444" s="6">
        <f t="shared" si="38"/>
        <v>4294.200000000001</v>
      </c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s="26" customFormat="1" ht="18.75" customHeight="1">
      <c r="A445" s="41" t="s">
        <v>361</v>
      </c>
      <c r="B445" s="39">
        <v>808</v>
      </c>
      <c r="C445" s="5" t="s">
        <v>60</v>
      </c>
      <c r="D445" s="5" t="s">
        <v>810</v>
      </c>
      <c r="E445" s="5" t="s">
        <v>45</v>
      </c>
      <c r="F445" s="5" t="s">
        <v>214</v>
      </c>
      <c r="G445" s="6">
        <f>'прил.16'!G615</f>
        <v>4333</v>
      </c>
      <c r="H445" s="6">
        <f>'прил.16'!H615</f>
        <v>4283.200000000001</v>
      </c>
      <c r="I445" s="6">
        <f>'прил.16'!I615</f>
        <v>4294.200000000001</v>
      </c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33" customHeight="1" hidden="1">
      <c r="A446" s="41" t="s">
        <v>405</v>
      </c>
      <c r="B446" s="39">
        <v>841</v>
      </c>
      <c r="C446" s="5" t="s">
        <v>60</v>
      </c>
      <c r="D446" s="5" t="s">
        <v>810</v>
      </c>
      <c r="E446" s="5" t="s">
        <v>406</v>
      </c>
      <c r="F446" s="5"/>
      <c r="G446" s="6">
        <f>G447+G451</f>
        <v>0</v>
      </c>
      <c r="H446" s="6">
        <f>H447+H451</f>
        <v>0</v>
      </c>
      <c r="I446" s="6">
        <f>I447+I451</f>
        <v>0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52.5" customHeight="1" hidden="1">
      <c r="A447" s="41" t="s">
        <v>74</v>
      </c>
      <c r="B447" s="39">
        <v>841</v>
      </c>
      <c r="C447" s="5" t="s">
        <v>60</v>
      </c>
      <c r="D447" s="5" t="s">
        <v>810</v>
      </c>
      <c r="E447" s="5" t="s">
        <v>71</v>
      </c>
      <c r="F447" s="5"/>
      <c r="G447" s="6">
        <f>G448</f>
        <v>0</v>
      </c>
      <c r="H447" s="6">
        <f>H448</f>
        <v>0</v>
      </c>
      <c r="I447" s="6">
        <f>I448</f>
        <v>0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33" customHeight="1" hidden="1">
      <c r="A448" s="41" t="s">
        <v>205</v>
      </c>
      <c r="B448" s="39">
        <v>841</v>
      </c>
      <c r="C448" s="5" t="s">
        <v>60</v>
      </c>
      <c r="D448" s="5" t="s">
        <v>810</v>
      </c>
      <c r="E448" s="5" t="s">
        <v>408</v>
      </c>
      <c r="F448" s="5"/>
      <c r="G448" s="6">
        <f>SUM(G449:G450)</f>
        <v>0</v>
      </c>
      <c r="H448" s="6">
        <f>SUM(H449:H450)</f>
        <v>0</v>
      </c>
      <c r="I448" s="6">
        <f>SUM(I449:I450)</f>
        <v>0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9.5" customHeight="1" hidden="1">
      <c r="A449" s="41" t="s">
        <v>790</v>
      </c>
      <c r="B449" s="39">
        <v>841</v>
      </c>
      <c r="C449" s="5" t="s">
        <v>60</v>
      </c>
      <c r="D449" s="5" t="s">
        <v>810</v>
      </c>
      <c r="E449" s="5" t="s">
        <v>408</v>
      </c>
      <c r="F449" s="5" t="s">
        <v>89</v>
      </c>
      <c r="G449" s="48">
        <f>'прил.16'!G1003</f>
        <v>0</v>
      </c>
      <c r="H449" s="48">
        <f>'прил.16'!H1003</f>
        <v>0</v>
      </c>
      <c r="I449" s="48">
        <f>'прил.16'!I1003</f>
        <v>0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36" customHeight="1" hidden="1">
      <c r="A450" s="20" t="s">
        <v>270</v>
      </c>
      <c r="B450" s="39">
        <v>841</v>
      </c>
      <c r="C450" s="5" t="s">
        <v>60</v>
      </c>
      <c r="D450" s="5" t="s">
        <v>810</v>
      </c>
      <c r="E450" s="5" t="s">
        <v>408</v>
      </c>
      <c r="F450" s="5" t="s">
        <v>90</v>
      </c>
      <c r="G450" s="48">
        <f>'прил.16'!G1004</f>
        <v>0</v>
      </c>
      <c r="H450" s="48">
        <f>'прил.16'!H1004</f>
        <v>0</v>
      </c>
      <c r="I450" s="48">
        <f>'прил.16'!I1004</f>
        <v>0</v>
      </c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16.5" customHeight="1" hidden="1">
      <c r="A451" s="41" t="s">
        <v>791</v>
      </c>
      <c r="B451" s="39">
        <v>841</v>
      </c>
      <c r="C451" s="5" t="s">
        <v>60</v>
      </c>
      <c r="D451" s="5" t="s">
        <v>810</v>
      </c>
      <c r="E451" s="5" t="s">
        <v>817</v>
      </c>
      <c r="F451" s="5"/>
      <c r="G451" s="48">
        <f>G452+G454</f>
        <v>0</v>
      </c>
      <c r="H451" s="48">
        <f>H452+H454</f>
        <v>0</v>
      </c>
      <c r="I451" s="48">
        <f>I452+I454</f>
        <v>0</v>
      </c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18" customHeight="1" hidden="1">
      <c r="A452" s="41" t="s">
        <v>770</v>
      </c>
      <c r="B452" s="39">
        <v>841</v>
      </c>
      <c r="C452" s="5" t="s">
        <v>60</v>
      </c>
      <c r="D452" s="5" t="s">
        <v>810</v>
      </c>
      <c r="E452" s="5" t="s">
        <v>820</v>
      </c>
      <c r="F452" s="5"/>
      <c r="G452" s="48">
        <f>G453</f>
        <v>0</v>
      </c>
      <c r="H452" s="48">
        <f>H453</f>
        <v>0</v>
      </c>
      <c r="I452" s="48">
        <f>I453</f>
        <v>0</v>
      </c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16.5" customHeight="1" hidden="1">
      <c r="A453" s="20" t="s">
        <v>415</v>
      </c>
      <c r="B453" s="39">
        <v>841</v>
      </c>
      <c r="C453" s="5" t="s">
        <v>60</v>
      </c>
      <c r="D453" s="5" t="s">
        <v>810</v>
      </c>
      <c r="E453" s="5" t="s">
        <v>820</v>
      </c>
      <c r="F453" s="5" t="s">
        <v>4</v>
      </c>
      <c r="G453" s="48">
        <f>'прил.16'!G1007</f>
        <v>0</v>
      </c>
      <c r="H453" s="48">
        <f>'прил.16'!H1007</f>
        <v>0</v>
      </c>
      <c r="I453" s="48">
        <f>'прил.16'!I1007</f>
        <v>0</v>
      </c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18" customHeight="1" hidden="1">
      <c r="A454" s="20" t="s">
        <v>792</v>
      </c>
      <c r="B454" s="39">
        <v>841</v>
      </c>
      <c r="C454" s="5" t="s">
        <v>60</v>
      </c>
      <c r="D454" s="5" t="s">
        <v>810</v>
      </c>
      <c r="E454" s="5" t="s">
        <v>827</v>
      </c>
      <c r="F454" s="5"/>
      <c r="G454" s="48">
        <f>G455</f>
        <v>0</v>
      </c>
      <c r="H454" s="48">
        <f>H455</f>
        <v>0</v>
      </c>
      <c r="I454" s="48">
        <f>I455</f>
        <v>0</v>
      </c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17.25" customHeight="1" hidden="1">
      <c r="A455" s="20" t="s">
        <v>415</v>
      </c>
      <c r="B455" s="39">
        <v>841</v>
      </c>
      <c r="C455" s="5" t="s">
        <v>60</v>
      </c>
      <c r="D455" s="5" t="s">
        <v>810</v>
      </c>
      <c r="E455" s="5" t="s">
        <v>827</v>
      </c>
      <c r="F455" s="5" t="s">
        <v>4</v>
      </c>
      <c r="G455" s="48">
        <f>'прил.16'!G1009</f>
        <v>0</v>
      </c>
      <c r="H455" s="48">
        <f>'прил.16'!H1009</f>
        <v>0</v>
      </c>
      <c r="I455" s="48">
        <f>'прил.16'!I1009</f>
        <v>0</v>
      </c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51" customHeight="1">
      <c r="A456" s="41" t="s">
        <v>700</v>
      </c>
      <c r="B456" s="39">
        <v>808</v>
      </c>
      <c r="C456" s="5" t="s">
        <v>60</v>
      </c>
      <c r="D456" s="5" t="s">
        <v>810</v>
      </c>
      <c r="E456" s="5" t="s">
        <v>555</v>
      </c>
      <c r="F456" s="5"/>
      <c r="G456" s="6">
        <f>G457+G459</f>
        <v>8217.1</v>
      </c>
      <c r="H456" s="6">
        <f>H457+H459</f>
        <v>8322.2</v>
      </c>
      <c r="I456" s="6">
        <f>I457+I459</f>
        <v>8432.2</v>
      </c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6.5">
      <c r="A457" s="45" t="s">
        <v>593</v>
      </c>
      <c r="B457" s="39">
        <v>808</v>
      </c>
      <c r="C457" s="5" t="s">
        <v>60</v>
      </c>
      <c r="D457" s="5" t="s">
        <v>810</v>
      </c>
      <c r="E457" s="5" t="s">
        <v>500</v>
      </c>
      <c r="F457" s="5"/>
      <c r="G457" s="6">
        <f>G458</f>
        <v>60.2</v>
      </c>
      <c r="H457" s="6">
        <f>H458</f>
        <v>60.2</v>
      </c>
      <c r="I457" s="6">
        <f>I458</f>
        <v>60.2</v>
      </c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6.5">
      <c r="A458" s="41" t="s">
        <v>13</v>
      </c>
      <c r="B458" s="39">
        <v>808</v>
      </c>
      <c r="C458" s="5" t="s">
        <v>60</v>
      </c>
      <c r="D458" s="5" t="s">
        <v>810</v>
      </c>
      <c r="E458" s="5" t="s">
        <v>500</v>
      </c>
      <c r="F458" s="5" t="s">
        <v>572</v>
      </c>
      <c r="G458" s="6">
        <f>'прил.16'!G618</f>
        <v>60.2</v>
      </c>
      <c r="H458" s="6">
        <f>'прил.16'!H618</f>
        <v>60.2</v>
      </c>
      <c r="I458" s="6">
        <f>'прил.16'!I618</f>
        <v>60.2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16.5">
      <c r="A459" s="45" t="s">
        <v>566</v>
      </c>
      <c r="B459" s="39">
        <v>808</v>
      </c>
      <c r="C459" s="5" t="s">
        <v>60</v>
      </c>
      <c r="D459" s="5" t="s">
        <v>810</v>
      </c>
      <c r="E459" s="5" t="s">
        <v>556</v>
      </c>
      <c r="F459" s="5"/>
      <c r="G459" s="6">
        <f>G460</f>
        <v>8156.9</v>
      </c>
      <c r="H459" s="6">
        <f>H460</f>
        <v>8262</v>
      </c>
      <c r="I459" s="6">
        <f>I460</f>
        <v>8372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8.75" customHeight="1">
      <c r="A460" s="41" t="s">
        <v>13</v>
      </c>
      <c r="B460" s="39">
        <v>808</v>
      </c>
      <c r="C460" s="5" t="s">
        <v>60</v>
      </c>
      <c r="D460" s="5" t="s">
        <v>810</v>
      </c>
      <c r="E460" s="5" t="s">
        <v>556</v>
      </c>
      <c r="F460" s="5" t="s">
        <v>572</v>
      </c>
      <c r="G460" s="6">
        <f>'прил.16'!G620</f>
        <v>8156.9</v>
      </c>
      <c r="H460" s="6">
        <f>'прил.16'!H620</f>
        <v>8262</v>
      </c>
      <c r="I460" s="6">
        <f>'прил.16'!I620</f>
        <v>8372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6.5">
      <c r="A461" s="45" t="s">
        <v>364</v>
      </c>
      <c r="B461" s="39">
        <v>808</v>
      </c>
      <c r="C461" s="5" t="s">
        <v>60</v>
      </c>
      <c r="D461" s="5" t="s">
        <v>810</v>
      </c>
      <c r="E461" s="5" t="s">
        <v>358</v>
      </c>
      <c r="F461" s="5"/>
      <c r="G461" s="6">
        <f>G462</f>
        <v>822.8</v>
      </c>
      <c r="H461" s="6">
        <f>H462</f>
        <v>1037.7</v>
      </c>
      <c r="I461" s="6">
        <f>I462</f>
        <v>1028</v>
      </c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6.5">
      <c r="A462" s="45" t="s">
        <v>394</v>
      </c>
      <c r="B462" s="39"/>
      <c r="C462" s="5" t="s">
        <v>60</v>
      </c>
      <c r="D462" s="5" t="s">
        <v>810</v>
      </c>
      <c r="E462" s="5" t="s">
        <v>359</v>
      </c>
      <c r="F462" s="5"/>
      <c r="G462" s="6">
        <f>G463+G465+G467</f>
        <v>822.8</v>
      </c>
      <c r="H462" s="6">
        <f>H463+H465+H467</f>
        <v>1037.7</v>
      </c>
      <c r="I462" s="6">
        <f>I463+I465+I467</f>
        <v>1028</v>
      </c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s="25" customFormat="1" ht="17.25" customHeight="1">
      <c r="A463" s="45" t="s">
        <v>216</v>
      </c>
      <c r="B463" s="39">
        <v>808</v>
      </c>
      <c r="C463" s="5" t="s">
        <v>60</v>
      </c>
      <c r="D463" s="5" t="s">
        <v>810</v>
      </c>
      <c r="E463" s="5" t="s">
        <v>369</v>
      </c>
      <c r="F463" s="5"/>
      <c r="G463" s="6">
        <f>G464</f>
        <v>662.8</v>
      </c>
      <c r="H463" s="6">
        <f>H464</f>
        <v>826.7</v>
      </c>
      <c r="I463" s="6">
        <f>I464</f>
        <v>934</v>
      </c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s="26" customFormat="1" ht="33">
      <c r="A464" s="20" t="s">
        <v>182</v>
      </c>
      <c r="B464" s="39">
        <v>808</v>
      </c>
      <c r="C464" s="5" t="s">
        <v>60</v>
      </c>
      <c r="D464" s="5" t="s">
        <v>810</v>
      </c>
      <c r="E464" s="5" t="s">
        <v>369</v>
      </c>
      <c r="F464" s="5" t="s">
        <v>306</v>
      </c>
      <c r="G464" s="6">
        <f>'прил.16'!G624</f>
        <v>662.8</v>
      </c>
      <c r="H464" s="6">
        <f>'прил.16'!H624</f>
        <v>826.7</v>
      </c>
      <c r="I464" s="6">
        <f>'прил.16'!I624</f>
        <v>934</v>
      </c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8" customHeight="1">
      <c r="A465" s="45" t="s">
        <v>793</v>
      </c>
      <c r="B465" s="39">
        <v>808</v>
      </c>
      <c r="C465" s="5" t="s">
        <v>60</v>
      </c>
      <c r="D465" s="5" t="s">
        <v>810</v>
      </c>
      <c r="E465" s="5" t="s">
        <v>365</v>
      </c>
      <c r="F465" s="5"/>
      <c r="G465" s="6">
        <f>G466</f>
        <v>85</v>
      </c>
      <c r="H465" s="6">
        <f>H466</f>
        <v>136</v>
      </c>
      <c r="I465" s="6">
        <f>I466</f>
        <v>94</v>
      </c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38.25" customHeight="1">
      <c r="A466" s="20" t="s">
        <v>801</v>
      </c>
      <c r="B466" s="39">
        <v>808</v>
      </c>
      <c r="C466" s="5" t="s">
        <v>60</v>
      </c>
      <c r="D466" s="5" t="s">
        <v>810</v>
      </c>
      <c r="E466" s="5" t="s">
        <v>365</v>
      </c>
      <c r="F466" s="5" t="s">
        <v>306</v>
      </c>
      <c r="G466" s="6">
        <f>'прил.16'!G626</f>
        <v>85</v>
      </c>
      <c r="H466" s="6">
        <f>'прил.16'!H626</f>
        <v>136</v>
      </c>
      <c r="I466" s="6">
        <f>'прил.16'!I626</f>
        <v>94</v>
      </c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36.75" customHeight="1">
      <c r="A467" s="42" t="s">
        <v>375</v>
      </c>
      <c r="B467" s="39"/>
      <c r="C467" s="5" t="s">
        <v>60</v>
      </c>
      <c r="D467" s="5" t="s">
        <v>810</v>
      </c>
      <c r="E467" s="5" t="s">
        <v>373</v>
      </c>
      <c r="F467" s="5"/>
      <c r="G467" s="6">
        <f>G468</f>
        <v>75</v>
      </c>
      <c r="H467" s="6">
        <f>H468</f>
        <v>75</v>
      </c>
      <c r="I467" s="6">
        <f>I468</f>
        <v>0</v>
      </c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21.75" customHeight="1">
      <c r="A468" s="42" t="s">
        <v>361</v>
      </c>
      <c r="B468" s="39"/>
      <c r="C468" s="5" t="s">
        <v>60</v>
      </c>
      <c r="D468" s="5" t="s">
        <v>810</v>
      </c>
      <c r="E468" s="5" t="s">
        <v>373</v>
      </c>
      <c r="F468" s="5" t="s">
        <v>214</v>
      </c>
      <c r="G468" s="6">
        <f>'прил.16'!G127</f>
        <v>75</v>
      </c>
      <c r="H468" s="6">
        <f>'прил.16'!H127</f>
        <v>75</v>
      </c>
      <c r="I468" s="6">
        <f>'прил.16'!I127</f>
        <v>0</v>
      </c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6.5">
      <c r="A469" s="45" t="s">
        <v>509</v>
      </c>
      <c r="B469" s="39"/>
      <c r="C469" s="5" t="s">
        <v>57</v>
      </c>
      <c r="D469" s="5"/>
      <c r="E469" s="5"/>
      <c r="F469" s="138"/>
      <c r="G469" s="6">
        <f>G470+G484+G498+G509+G518+G524</f>
        <v>381714.4</v>
      </c>
      <c r="H469" s="6">
        <f>H470+H484+H498+H509+H518+H524</f>
        <v>294968.7</v>
      </c>
      <c r="I469" s="6">
        <f>I470+I484+I498+I509+I518+I524</f>
        <v>283669.2</v>
      </c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16.5">
      <c r="A470" s="45" t="s">
        <v>570</v>
      </c>
      <c r="B470" s="39">
        <v>806</v>
      </c>
      <c r="C470" s="5" t="s">
        <v>57</v>
      </c>
      <c r="D470" s="5" t="s">
        <v>807</v>
      </c>
      <c r="E470" s="5"/>
      <c r="F470" s="138"/>
      <c r="G470" s="6">
        <f>G471+G476+G481</f>
        <v>166789.90000000002</v>
      </c>
      <c r="H470" s="6">
        <f>H471+H476+H481</f>
        <v>81762.2</v>
      </c>
      <c r="I470" s="6">
        <f>I471+I476+I481</f>
        <v>87590.7</v>
      </c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6.5">
      <c r="A471" s="20" t="s">
        <v>715</v>
      </c>
      <c r="B471" s="39">
        <v>806</v>
      </c>
      <c r="C471" s="5" t="s">
        <v>57</v>
      </c>
      <c r="D471" s="5" t="s">
        <v>807</v>
      </c>
      <c r="E471" s="5" t="s">
        <v>139</v>
      </c>
      <c r="F471" s="5"/>
      <c r="G471" s="6">
        <f>G472+G474</f>
        <v>157623.30000000002</v>
      </c>
      <c r="H471" s="6">
        <f>H472+H474</f>
        <v>76052</v>
      </c>
      <c r="I471" s="6">
        <f>I472+I474</f>
        <v>81438.3</v>
      </c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6.5">
      <c r="A472" s="45" t="s">
        <v>593</v>
      </c>
      <c r="B472" s="39">
        <v>806</v>
      </c>
      <c r="C472" s="5" t="s">
        <v>57</v>
      </c>
      <c r="D472" s="5" t="s">
        <v>807</v>
      </c>
      <c r="E472" s="5" t="s">
        <v>501</v>
      </c>
      <c r="F472" s="5"/>
      <c r="G472" s="6">
        <f>G473</f>
        <v>3471.5</v>
      </c>
      <c r="H472" s="6">
        <f>H473</f>
        <v>3471.5</v>
      </c>
      <c r="I472" s="6">
        <f>I473</f>
        <v>3471.5</v>
      </c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6.5">
      <c r="A473" s="41" t="s">
        <v>13</v>
      </c>
      <c r="B473" s="39">
        <v>806</v>
      </c>
      <c r="C473" s="5" t="s">
        <v>57</v>
      </c>
      <c r="D473" s="5" t="s">
        <v>807</v>
      </c>
      <c r="E473" s="5" t="s">
        <v>501</v>
      </c>
      <c r="F473" s="5" t="s">
        <v>572</v>
      </c>
      <c r="G473" s="6">
        <f>'прил.16'!G422</f>
        <v>3471.5</v>
      </c>
      <c r="H473" s="6">
        <f>'прил.16'!H422</f>
        <v>3471.5</v>
      </c>
      <c r="I473" s="6">
        <f>'прил.16'!I422</f>
        <v>3471.5</v>
      </c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16.5">
      <c r="A474" s="45" t="s">
        <v>566</v>
      </c>
      <c r="B474" s="39">
        <v>806</v>
      </c>
      <c r="C474" s="5" t="s">
        <v>57</v>
      </c>
      <c r="D474" s="5" t="s">
        <v>807</v>
      </c>
      <c r="E474" s="5" t="s">
        <v>140</v>
      </c>
      <c r="F474" s="138"/>
      <c r="G474" s="6">
        <f>G475</f>
        <v>154151.80000000002</v>
      </c>
      <c r="H474" s="6">
        <f>H475</f>
        <v>72580.5</v>
      </c>
      <c r="I474" s="6">
        <f>I475</f>
        <v>77966.8</v>
      </c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16.5">
      <c r="A475" s="41" t="s">
        <v>13</v>
      </c>
      <c r="B475" s="39">
        <v>806</v>
      </c>
      <c r="C475" s="5" t="s">
        <v>57</v>
      </c>
      <c r="D475" s="5" t="s">
        <v>807</v>
      </c>
      <c r="E475" s="5" t="s">
        <v>140</v>
      </c>
      <c r="F475" s="5" t="s">
        <v>572</v>
      </c>
      <c r="G475" s="6">
        <f>'прил.16'!G424+'прил.16'!G906</f>
        <v>154151.80000000002</v>
      </c>
      <c r="H475" s="6">
        <f>'прил.16'!H424+'прил.16'!H906</f>
        <v>72580.5</v>
      </c>
      <c r="I475" s="6">
        <f>'прил.16'!I424+'прил.16'!I906</f>
        <v>77966.8</v>
      </c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16.5">
      <c r="A476" s="45" t="s">
        <v>716</v>
      </c>
      <c r="B476" s="39">
        <v>806</v>
      </c>
      <c r="C476" s="5" t="s">
        <v>57</v>
      </c>
      <c r="D476" s="5" t="s">
        <v>807</v>
      </c>
      <c r="E476" s="5" t="s">
        <v>141</v>
      </c>
      <c r="F476" s="5"/>
      <c r="G476" s="6">
        <f>G477+G479</f>
        <v>9166.599999999999</v>
      </c>
      <c r="H476" s="6">
        <f>H477+H479</f>
        <v>5710.2</v>
      </c>
      <c r="I476" s="6">
        <f>I477+I479</f>
        <v>6152.400000000001</v>
      </c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6.5">
      <c r="A477" s="45" t="s">
        <v>593</v>
      </c>
      <c r="B477" s="39">
        <v>806</v>
      </c>
      <c r="C477" s="5" t="s">
        <v>57</v>
      </c>
      <c r="D477" s="5" t="s">
        <v>807</v>
      </c>
      <c r="E477" s="5" t="s">
        <v>814</v>
      </c>
      <c r="F477" s="5"/>
      <c r="G477" s="6">
        <f>G478</f>
        <v>421.8</v>
      </c>
      <c r="H477" s="6">
        <f>H478</f>
        <v>421.8</v>
      </c>
      <c r="I477" s="6">
        <f>I478</f>
        <v>421.8</v>
      </c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6.5">
      <c r="A478" s="41" t="s">
        <v>13</v>
      </c>
      <c r="B478" s="39">
        <v>806</v>
      </c>
      <c r="C478" s="5" t="s">
        <v>57</v>
      </c>
      <c r="D478" s="5" t="s">
        <v>807</v>
      </c>
      <c r="E478" s="5" t="s">
        <v>814</v>
      </c>
      <c r="F478" s="5" t="s">
        <v>572</v>
      </c>
      <c r="G478" s="6">
        <f>'прил.16'!G427</f>
        <v>421.8</v>
      </c>
      <c r="H478" s="6">
        <f>'прил.16'!H427</f>
        <v>421.8</v>
      </c>
      <c r="I478" s="6">
        <f>'прил.16'!I427</f>
        <v>421.8</v>
      </c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6.5">
      <c r="A479" s="45" t="s">
        <v>566</v>
      </c>
      <c r="B479" s="39">
        <v>806</v>
      </c>
      <c r="C479" s="5" t="s">
        <v>57</v>
      </c>
      <c r="D479" s="5" t="s">
        <v>807</v>
      </c>
      <c r="E479" s="5" t="s">
        <v>142</v>
      </c>
      <c r="F479" s="5"/>
      <c r="G479" s="6">
        <f>G480</f>
        <v>8744.8</v>
      </c>
      <c r="H479" s="6">
        <f>H480</f>
        <v>5288.4</v>
      </c>
      <c r="I479" s="6">
        <f>I480</f>
        <v>5730.6</v>
      </c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6.5">
      <c r="A480" s="41" t="s">
        <v>13</v>
      </c>
      <c r="B480" s="39">
        <v>806</v>
      </c>
      <c r="C480" s="5" t="s">
        <v>57</v>
      </c>
      <c r="D480" s="5" t="s">
        <v>807</v>
      </c>
      <c r="E480" s="5" t="s">
        <v>142</v>
      </c>
      <c r="F480" s="5" t="s">
        <v>572</v>
      </c>
      <c r="G480" s="6">
        <f>'прил.16'!G429</f>
        <v>8744.8</v>
      </c>
      <c r="H480" s="6">
        <f>'прил.16'!H429</f>
        <v>5288.4</v>
      </c>
      <c r="I480" s="6">
        <f>'прил.16'!I429</f>
        <v>5730.6</v>
      </c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16.5" hidden="1">
      <c r="A481" s="42" t="s">
        <v>69</v>
      </c>
      <c r="B481" s="39"/>
      <c r="C481" s="5" t="s">
        <v>57</v>
      </c>
      <c r="D481" s="5" t="s">
        <v>807</v>
      </c>
      <c r="E481" s="5" t="s">
        <v>48</v>
      </c>
      <c r="F481" s="5"/>
      <c r="G481" s="6">
        <f aca="true" t="shared" si="39" ref="G481:I482">G482</f>
        <v>0</v>
      </c>
      <c r="H481" s="6">
        <f t="shared" si="39"/>
        <v>0</v>
      </c>
      <c r="I481" s="6">
        <f t="shared" si="39"/>
        <v>0</v>
      </c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33" hidden="1">
      <c r="A482" s="41" t="s">
        <v>171</v>
      </c>
      <c r="B482" s="39"/>
      <c r="C482" s="5" t="s">
        <v>57</v>
      </c>
      <c r="D482" s="5" t="s">
        <v>807</v>
      </c>
      <c r="E482" s="5" t="s">
        <v>170</v>
      </c>
      <c r="F482" s="5"/>
      <c r="G482" s="6">
        <f t="shared" si="39"/>
        <v>0</v>
      </c>
      <c r="H482" s="6">
        <f t="shared" si="39"/>
        <v>0</v>
      </c>
      <c r="I482" s="6">
        <f t="shared" si="39"/>
        <v>0</v>
      </c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6.5" hidden="1">
      <c r="A483" s="41" t="s">
        <v>13</v>
      </c>
      <c r="B483" s="39"/>
      <c r="C483" s="5" t="s">
        <v>57</v>
      </c>
      <c r="D483" s="5" t="s">
        <v>807</v>
      </c>
      <c r="E483" s="5" t="s">
        <v>170</v>
      </c>
      <c r="F483" s="5" t="s">
        <v>572</v>
      </c>
      <c r="G483" s="6"/>
      <c r="H483" s="6"/>
      <c r="I483" s="6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6.5">
      <c r="A484" s="45" t="s">
        <v>717</v>
      </c>
      <c r="B484" s="39">
        <v>806</v>
      </c>
      <c r="C484" s="5" t="s">
        <v>57</v>
      </c>
      <c r="D484" s="5" t="s">
        <v>808</v>
      </c>
      <c r="E484" s="5"/>
      <c r="F484" s="5"/>
      <c r="G484" s="6">
        <f>G485+G490+G495</f>
        <v>46616.6</v>
      </c>
      <c r="H484" s="6">
        <f>H485+H490+H495</f>
        <v>43987.1</v>
      </c>
      <c r="I484" s="6">
        <f>I485+I490+I495</f>
        <v>46743.7</v>
      </c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16.5">
      <c r="A485" s="20" t="s">
        <v>715</v>
      </c>
      <c r="B485" s="39">
        <v>806</v>
      </c>
      <c r="C485" s="5" t="s">
        <v>57</v>
      </c>
      <c r="D485" s="5" t="s">
        <v>808</v>
      </c>
      <c r="E485" s="5" t="s">
        <v>139</v>
      </c>
      <c r="F485" s="5"/>
      <c r="G485" s="6">
        <f>G486+G488</f>
        <v>14956.7</v>
      </c>
      <c r="H485" s="6">
        <f>H486+H488</f>
        <v>15878.300000000001</v>
      </c>
      <c r="I485" s="6">
        <f>I486+I488</f>
        <v>16876.9</v>
      </c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16.5">
      <c r="A486" s="45" t="s">
        <v>593</v>
      </c>
      <c r="B486" s="39">
        <v>806</v>
      </c>
      <c r="C486" s="5" t="s">
        <v>57</v>
      </c>
      <c r="D486" s="5" t="s">
        <v>808</v>
      </c>
      <c r="E486" s="5" t="s">
        <v>501</v>
      </c>
      <c r="F486" s="5"/>
      <c r="G486" s="6">
        <f>G487</f>
        <v>401.7</v>
      </c>
      <c r="H486" s="6">
        <f>H487</f>
        <v>401.7</v>
      </c>
      <c r="I486" s="6">
        <f>I487</f>
        <v>401.7</v>
      </c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16.5">
      <c r="A487" s="41" t="s">
        <v>13</v>
      </c>
      <c r="B487" s="39">
        <v>806</v>
      </c>
      <c r="C487" s="5" t="s">
        <v>57</v>
      </c>
      <c r="D487" s="5" t="s">
        <v>808</v>
      </c>
      <c r="E487" s="5" t="s">
        <v>501</v>
      </c>
      <c r="F487" s="5" t="s">
        <v>572</v>
      </c>
      <c r="G487" s="6">
        <f>'прил.16'!G433</f>
        <v>401.7</v>
      </c>
      <c r="H487" s="6">
        <f>'прил.16'!H433</f>
        <v>401.7</v>
      </c>
      <c r="I487" s="6">
        <f>'прил.16'!I433</f>
        <v>401.7</v>
      </c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16.5">
      <c r="A488" s="45" t="s">
        <v>566</v>
      </c>
      <c r="B488" s="39">
        <v>806</v>
      </c>
      <c r="C488" s="5" t="s">
        <v>57</v>
      </c>
      <c r="D488" s="5" t="s">
        <v>808</v>
      </c>
      <c r="E488" s="5" t="s">
        <v>140</v>
      </c>
      <c r="F488" s="138"/>
      <c r="G488" s="6">
        <f>G489</f>
        <v>14555</v>
      </c>
      <c r="H488" s="6">
        <f>H489</f>
        <v>15476.6</v>
      </c>
      <c r="I488" s="6">
        <f>I489</f>
        <v>16475.2</v>
      </c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16.5">
      <c r="A489" s="41" t="s">
        <v>13</v>
      </c>
      <c r="B489" s="39">
        <v>806</v>
      </c>
      <c r="C489" s="5" t="s">
        <v>57</v>
      </c>
      <c r="D489" s="5" t="s">
        <v>808</v>
      </c>
      <c r="E489" s="5" t="s">
        <v>140</v>
      </c>
      <c r="F489" s="5" t="s">
        <v>572</v>
      </c>
      <c r="G489" s="6">
        <f>'прил.16'!G435</f>
        <v>14555</v>
      </c>
      <c r="H489" s="6">
        <f>'прил.16'!H435</f>
        <v>15476.6</v>
      </c>
      <c r="I489" s="6">
        <f>'прил.16'!I435</f>
        <v>16475.2</v>
      </c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16.5">
      <c r="A490" s="45" t="s">
        <v>718</v>
      </c>
      <c r="B490" s="39">
        <v>806</v>
      </c>
      <c r="C490" s="5" t="s">
        <v>57</v>
      </c>
      <c r="D490" s="5" t="s">
        <v>808</v>
      </c>
      <c r="E490" s="5" t="s">
        <v>143</v>
      </c>
      <c r="F490" s="5"/>
      <c r="G490" s="6">
        <f>G491+G493</f>
        <v>31659.899999999998</v>
      </c>
      <c r="H490" s="6">
        <f>H491+H493</f>
        <v>28108.8</v>
      </c>
      <c r="I490" s="6">
        <f>I491+I493</f>
        <v>29866.8</v>
      </c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16.5">
      <c r="A491" s="45" t="s">
        <v>593</v>
      </c>
      <c r="B491" s="39">
        <v>806</v>
      </c>
      <c r="C491" s="5" t="s">
        <v>57</v>
      </c>
      <c r="D491" s="5" t="s">
        <v>808</v>
      </c>
      <c r="E491" s="5" t="s">
        <v>502</v>
      </c>
      <c r="F491" s="5"/>
      <c r="G491" s="6">
        <f>G492</f>
        <v>826.6</v>
      </c>
      <c r="H491" s="6">
        <f>H492</f>
        <v>826.6</v>
      </c>
      <c r="I491" s="6">
        <f>I492</f>
        <v>826.6</v>
      </c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16.5">
      <c r="A492" s="41" t="s">
        <v>13</v>
      </c>
      <c r="B492" s="39">
        <v>806</v>
      </c>
      <c r="C492" s="5" t="s">
        <v>57</v>
      </c>
      <c r="D492" s="5" t="s">
        <v>808</v>
      </c>
      <c r="E492" s="5" t="s">
        <v>502</v>
      </c>
      <c r="F492" s="5" t="s">
        <v>572</v>
      </c>
      <c r="G492" s="6">
        <f>'прил.16'!G438</f>
        <v>826.6</v>
      </c>
      <c r="H492" s="6">
        <f>'прил.16'!H438</f>
        <v>826.6</v>
      </c>
      <c r="I492" s="6">
        <f>'прил.16'!I438</f>
        <v>826.6</v>
      </c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16.5">
      <c r="A493" s="45" t="s">
        <v>566</v>
      </c>
      <c r="B493" s="39">
        <v>806</v>
      </c>
      <c r="C493" s="5" t="s">
        <v>57</v>
      </c>
      <c r="D493" s="5" t="s">
        <v>808</v>
      </c>
      <c r="E493" s="5" t="s">
        <v>144</v>
      </c>
      <c r="F493" s="5"/>
      <c r="G493" s="6">
        <f>G494</f>
        <v>30833.3</v>
      </c>
      <c r="H493" s="6">
        <f>H494</f>
        <v>27282.2</v>
      </c>
      <c r="I493" s="6">
        <f>I494</f>
        <v>29040.2</v>
      </c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16.5">
      <c r="A494" s="41" t="s">
        <v>13</v>
      </c>
      <c r="B494" s="39">
        <v>806</v>
      </c>
      <c r="C494" s="5" t="s">
        <v>57</v>
      </c>
      <c r="D494" s="5" t="s">
        <v>808</v>
      </c>
      <c r="E494" s="5" t="s">
        <v>144</v>
      </c>
      <c r="F494" s="5" t="s">
        <v>572</v>
      </c>
      <c r="G494" s="6">
        <f>'прил.16'!G440</f>
        <v>30833.3</v>
      </c>
      <c r="H494" s="6">
        <f>'прил.16'!H440</f>
        <v>27282.2</v>
      </c>
      <c r="I494" s="6">
        <f>'прил.16'!I440</f>
        <v>29040.2</v>
      </c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16.5" hidden="1">
      <c r="A495" s="20" t="s">
        <v>119</v>
      </c>
      <c r="B495" s="39">
        <v>806</v>
      </c>
      <c r="C495" s="5" t="s">
        <v>57</v>
      </c>
      <c r="D495" s="5" t="s">
        <v>808</v>
      </c>
      <c r="E495" s="5" t="s">
        <v>461</v>
      </c>
      <c r="F495" s="5"/>
      <c r="G495" s="6">
        <f aca="true" t="shared" si="40" ref="G495:I496">G496</f>
        <v>0</v>
      </c>
      <c r="H495" s="6">
        <f t="shared" si="40"/>
        <v>0</v>
      </c>
      <c r="I495" s="6">
        <f t="shared" si="40"/>
        <v>0</v>
      </c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88.5" customHeight="1" hidden="1">
      <c r="A496" s="20" t="s">
        <v>794</v>
      </c>
      <c r="B496" s="39">
        <v>806</v>
      </c>
      <c r="C496" s="5" t="s">
        <v>57</v>
      </c>
      <c r="D496" s="5" t="s">
        <v>808</v>
      </c>
      <c r="E496" s="5" t="s">
        <v>92</v>
      </c>
      <c r="F496" s="5"/>
      <c r="G496" s="6">
        <f t="shared" si="40"/>
        <v>0</v>
      </c>
      <c r="H496" s="6">
        <f t="shared" si="40"/>
        <v>0</v>
      </c>
      <c r="I496" s="6">
        <f t="shared" si="40"/>
        <v>0</v>
      </c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18" customHeight="1" hidden="1">
      <c r="A497" s="41" t="s">
        <v>13</v>
      </c>
      <c r="B497" s="39">
        <v>806</v>
      </c>
      <c r="C497" s="5" t="s">
        <v>57</v>
      </c>
      <c r="D497" s="5" t="s">
        <v>808</v>
      </c>
      <c r="E497" s="5" t="s">
        <v>92</v>
      </c>
      <c r="F497" s="5" t="s">
        <v>572</v>
      </c>
      <c r="G497" s="6">
        <f>'прил.16'!G443</f>
        <v>0</v>
      </c>
      <c r="H497" s="6">
        <f>'прил.16'!H443</f>
        <v>0</v>
      </c>
      <c r="I497" s="6">
        <f>'прил.16'!I443</f>
        <v>0</v>
      </c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18" customHeight="1">
      <c r="A498" s="45" t="s">
        <v>719</v>
      </c>
      <c r="B498" s="39">
        <v>806</v>
      </c>
      <c r="C498" s="5" t="s">
        <v>57</v>
      </c>
      <c r="D498" s="5" t="s">
        <v>809</v>
      </c>
      <c r="E498" s="5"/>
      <c r="F498" s="5"/>
      <c r="G498" s="6">
        <f>G499+G504</f>
        <v>2882.1</v>
      </c>
      <c r="H498" s="6">
        <f>H499+H504</f>
        <v>3100.9</v>
      </c>
      <c r="I498" s="6">
        <f>I499+I504</f>
        <v>3341.2999999999997</v>
      </c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18" customHeight="1">
      <c r="A499" s="20" t="s">
        <v>715</v>
      </c>
      <c r="B499" s="39">
        <v>806</v>
      </c>
      <c r="C499" s="5" t="s">
        <v>57</v>
      </c>
      <c r="D499" s="5" t="s">
        <v>809</v>
      </c>
      <c r="E499" s="5" t="s">
        <v>139</v>
      </c>
      <c r="F499" s="5"/>
      <c r="G499" s="6">
        <f>G500+G502</f>
        <v>2552.6</v>
      </c>
      <c r="H499" s="6">
        <f>H500+H502</f>
        <v>2738.8</v>
      </c>
      <c r="I499" s="6">
        <f>I500+I502</f>
        <v>2943.1</v>
      </c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8.75" customHeight="1">
      <c r="A500" s="45" t="s">
        <v>593</v>
      </c>
      <c r="B500" s="39">
        <v>806</v>
      </c>
      <c r="C500" s="5" t="s">
        <v>57</v>
      </c>
      <c r="D500" s="5" t="s">
        <v>809</v>
      </c>
      <c r="E500" s="5" t="s">
        <v>501</v>
      </c>
      <c r="F500" s="5"/>
      <c r="G500" s="6">
        <f>G501</f>
        <v>49.5</v>
      </c>
      <c r="H500" s="6">
        <f>H501</f>
        <v>49.5</v>
      </c>
      <c r="I500" s="6">
        <f>I501</f>
        <v>49.5</v>
      </c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18.75" customHeight="1">
      <c r="A501" s="41" t="s">
        <v>13</v>
      </c>
      <c r="B501" s="39">
        <v>806</v>
      </c>
      <c r="C501" s="5" t="s">
        <v>57</v>
      </c>
      <c r="D501" s="5" t="s">
        <v>809</v>
      </c>
      <c r="E501" s="5" t="s">
        <v>501</v>
      </c>
      <c r="F501" s="5" t="s">
        <v>572</v>
      </c>
      <c r="G501" s="6">
        <f>'прил.16'!G447</f>
        <v>49.5</v>
      </c>
      <c r="H501" s="6">
        <f>'прил.16'!H447</f>
        <v>49.5</v>
      </c>
      <c r="I501" s="6">
        <f>'прил.16'!I447</f>
        <v>49.5</v>
      </c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8" customHeight="1">
      <c r="A502" s="45" t="s">
        <v>566</v>
      </c>
      <c r="B502" s="39">
        <v>806</v>
      </c>
      <c r="C502" s="5" t="s">
        <v>57</v>
      </c>
      <c r="D502" s="5" t="s">
        <v>809</v>
      </c>
      <c r="E502" s="5" t="s">
        <v>140</v>
      </c>
      <c r="F502" s="138"/>
      <c r="G502" s="6">
        <f>G503</f>
        <v>2503.1</v>
      </c>
      <c r="H502" s="6">
        <f>H503</f>
        <v>2689.3</v>
      </c>
      <c r="I502" s="6">
        <f>I503</f>
        <v>2893.6</v>
      </c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s="25" customFormat="1" ht="20.25" customHeight="1">
      <c r="A503" s="41" t="s">
        <v>13</v>
      </c>
      <c r="B503" s="39">
        <v>806</v>
      </c>
      <c r="C503" s="5" t="s">
        <v>57</v>
      </c>
      <c r="D503" s="5" t="s">
        <v>809</v>
      </c>
      <c r="E503" s="5" t="s">
        <v>140</v>
      </c>
      <c r="F503" s="5" t="s">
        <v>572</v>
      </c>
      <c r="G503" s="6">
        <f>'прил.16'!G449</f>
        <v>2503.1</v>
      </c>
      <c r="H503" s="6">
        <f>'прил.16'!H449</f>
        <v>2689.3</v>
      </c>
      <c r="I503" s="6">
        <f>'прил.16'!I449</f>
        <v>2893.6</v>
      </c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s="26" customFormat="1" ht="18" customHeight="1">
      <c r="A504" s="45" t="s">
        <v>718</v>
      </c>
      <c r="B504" s="39"/>
      <c r="C504" s="5" t="s">
        <v>57</v>
      </c>
      <c r="D504" s="5" t="s">
        <v>809</v>
      </c>
      <c r="E504" s="5" t="s">
        <v>143</v>
      </c>
      <c r="F504" s="5"/>
      <c r="G504" s="6">
        <f>G505+G507</f>
        <v>329.5</v>
      </c>
      <c r="H504" s="6">
        <f>H505+H507</f>
        <v>362.09999999999997</v>
      </c>
      <c r="I504" s="6">
        <f>I505+I507</f>
        <v>398.2</v>
      </c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8" customHeight="1">
      <c r="A505" s="45" t="s">
        <v>593</v>
      </c>
      <c r="B505" s="39"/>
      <c r="C505" s="5" t="s">
        <v>57</v>
      </c>
      <c r="D505" s="5" t="s">
        <v>809</v>
      </c>
      <c r="E505" s="5" t="s">
        <v>502</v>
      </c>
      <c r="F505" s="5"/>
      <c r="G505" s="6">
        <f>G506</f>
        <v>37.7</v>
      </c>
      <c r="H505" s="6">
        <f>H506</f>
        <v>37.7</v>
      </c>
      <c r="I505" s="6">
        <f>I506</f>
        <v>37.7</v>
      </c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8" customHeight="1">
      <c r="A506" s="41" t="s">
        <v>13</v>
      </c>
      <c r="B506" s="39"/>
      <c r="C506" s="5" t="s">
        <v>57</v>
      </c>
      <c r="D506" s="5" t="s">
        <v>809</v>
      </c>
      <c r="E506" s="5" t="s">
        <v>502</v>
      </c>
      <c r="F506" s="5" t="s">
        <v>572</v>
      </c>
      <c r="G506" s="6">
        <f>'прил.16'!G452</f>
        <v>37.7</v>
      </c>
      <c r="H506" s="6">
        <f>'прил.16'!H452</f>
        <v>37.7</v>
      </c>
      <c r="I506" s="6">
        <f>'прил.16'!I452</f>
        <v>37.7</v>
      </c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18" customHeight="1">
      <c r="A507" s="45" t="s">
        <v>566</v>
      </c>
      <c r="B507" s="39"/>
      <c r="C507" s="5" t="s">
        <v>57</v>
      </c>
      <c r="D507" s="5" t="s">
        <v>809</v>
      </c>
      <c r="E507" s="5" t="s">
        <v>144</v>
      </c>
      <c r="F507" s="5"/>
      <c r="G507" s="6">
        <f>G508</f>
        <v>291.8</v>
      </c>
      <c r="H507" s="6">
        <f>H508</f>
        <v>324.4</v>
      </c>
      <c r="I507" s="6">
        <f>I508</f>
        <v>360.5</v>
      </c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8" customHeight="1">
      <c r="A508" s="41" t="s">
        <v>13</v>
      </c>
      <c r="B508" s="39"/>
      <c r="C508" s="5" t="s">
        <v>57</v>
      </c>
      <c r="D508" s="5" t="s">
        <v>809</v>
      </c>
      <c r="E508" s="5" t="s">
        <v>144</v>
      </c>
      <c r="F508" s="5" t="s">
        <v>572</v>
      </c>
      <c r="G508" s="6">
        <f>'прил.16'!G454</f>
        <v>291.8</v>
      </c>
      <c r="H508" s="6">
        <f>'прил.16'!H454</f>
        <v>324.4</v>
      </c>
      <c r="I508" s="6">
        <f>'прил.16'!I454</f>
        <v>360.5</v>
      </c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6.5">
      <c r="A509" s="20" t="s">
        <v>720</v>
      </c>
      <c r="B509" s="39">
        <v>806</v>
      </c>
      <c r="C509" s="5" t="s">
        <v>57</v>
      </c>
      <c r="D509" s="5" t="s">
        <v>810</v>
      </c>
      <c r="E509" s="5"/>
      <c r="F509" s="5"/>
      <c r="G509" s="6">
        <f>G510+G515</f>
        <v>126600.90000000001</v>
      </c>
      <c r="H509" s="6">
        <f>H510+H515</f>
        <v>123445.3</v>
      </c>
      <c r="I509" s="6">
        <f>I510+I515</f>
        <v>105263.1</v>
      </c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9" s="13" customFormat="1" ht="16.5">
      <c r="A510" s="45" t="s">
        <v>721</v>
      </c>
      <c r="B510" s="39">
        <v>806</v>
      </c>
      <c r="C510" s="5" t="s">
        <v>57</v>
      </c>
      <c r="D510" s="5" t="s">
        <v>810</v>
      </c>
      <c r="E510" s="5" t="s">
        <v>145</v>
      </c>
      <c r="F510" s="5"/>
      <c r="G510" s="6">
        <f>G511+G513</f>
        <v>107482.90000000001</v>
      </c>
      <c r="H510" s="6">
        <f>H511+H513</f>
        <v>104318.3</v>
      </c>
      <c r="I510" s="6">
        <f>I511+I513</f>
        <v>105263.1</v>
      </c>
    </row>
    <row r="511" spans="1:9" s="13" customFormat="1" ht="16.5">
      <c r="A511" s="45" t="s">
        <v>593</v>
      </c>
      <c r="B511" s="39">
        <v>806</v>
      </c>
      <c r="C511" s="5" t="s">
        <v>57</v>
      </c>
      <c r="D511" s="5" t="s">
        <v>810</v>
      </c>
      <c r="E511" s="5" t="s">
        <v>816</v>
      </c>
      <c r="F511" s="5"/>
      <c r="G511" s="6">
        <f>G512</f>
        <v>333.6</v>
      </c>
      <c r="H511" s="6">
        <f>H512</f>
        <v>333.6</v>
      </c>
      <c r="I511" s="6">
        <f>I512</f>
        <v>333.6</v>
      </c>
    </row>
    <row r="512" spans="1:23" ht="16.5">
      <c r="A512" s="41" t="s">
        <v>13</v>
      </c>
      <c r="B512" s="39">
        <v>806</v>
      </c>
      <c r="C512" s="5" t="s">
        <v>57</v>
      </c>
      <c r="D512" s="5" t="s">
        <v>810</v>
      </c>
      <c r="E512" s="5" t="s">
        <v>816</v>
      </c>
      <c r="F512" s="5" t="s">
        <v>572</v>
      </c>
      <c r="G512" s="6">
        <f>'прил.16'!G458</f>
        <v>333.6</v>
      </c>
      <c r="H512" s="6">
        <f>'прил.16'!H458</f>
        <v>333.6</v>
      </c>
      <c r="I512" s="6">
        <f>'прил.16'!I458</f>
        <v>333.6</v>
      </c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6.5">
      <c r="A513" s="45" t="s">
        <v>566</v>
      </c>
      <c r="B513" s="39">
        <v>806</v>
      </c>
      <c r="C513" s="5" t="s">
        <v>57</v>
      </c>
      <c r="D513" s="5" t="s">
        <v>810</v>
      </c>
      <c r="E513" s="5" t="s">
        <v>146</v>
      </c>
      <c r="F513" s="5"/>
      <c r="G513" s="6">
        <f>G514</f>
        <v>107149.3</v>
      </c>
      <c r="H513" s="6">
        <f>H514</f>
        <v>103984.7</v>
      </c>
      <c r="I513" s="6">
        <f>I514</f>
        <v>104929.5</v>
      </c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16.5">
      <c r="A514" s="41" t="s">
        <v>13</v>
      </c>
      <c r="B514" s="39">
        <v>806</v>
      </c>
      <c r="C514" s="5" t="s">
        <v>57</v>
      </c>
      <c r="D514" s="5" t="s">
        <v>810</v>
      </c>
      <c r="E514" s="5" t="s">
        <v>146</v>
      </c>
      <c r="F514" s="5" t="s">
        <v>572</v>
      </c>
      <c r="G514" s="6">
        <f>'прил.16'!G460</f>
        <v>107149.3</v>
      </c>
      <c r="H514" s="6">
        <f>'прил.16'!H460</f>
        <v>103984.7</v>
      </c>
      <c r="I514" s="6">
        <f>'прил.16'!I460</f>
        <v>104929.5</v>
      </c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18.75" customHeight="1">
      <c r="A515" s="20" t="s">
        <v>722</v>
      </c>
      <c r="B515" s="39">
        <v>806</v>
      </c>
      <c r="C515" s="5" t="s">
        <v>57</v>
      </c>
      <c r="D515" s="5" t="s">
        <v>810</v>
      </c>
      <c r="E515" s="5" t="s">
        <v>461</v>
      </c>
      <c r="F515" s="5"/>
      <c r="G515" s="6">
        <f aca="true" t="shared" si="41" ref="G515:I516">G516</f>
        <v>19118</v>
      </c>
      <c r="H515" s="6">
        <f t="shared" si="41"/>
        <v>19127</v>
      </c>
      <c r="I515" s="6">
        <f t="shared" si="41"/>
        <v>0</v>
      </c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40.5" customHeight="1">
      <c r="A516" s="41" t="s">
        <v>723</v>
      </c>
      <c r="B516" s="39">
        <v>806</v>
      </c>
      <c r="C516" s="5" t="s">
        <v>57</v>
      </c>
      <c r="D516" s="5" t="s">
        <v>810</v>
      </c>
      <c r="E516" s="5" t="s">
        <v>93</v>
      </c>
      <c r="F516" s="5"/>
      <c r="G516" s="6">
        <f t="shared" si="41"/>
        <v>19118</v>
      </c>
      <c r="H516" s="6">
        <f t="shared" si="41"/>
        <v>19127</v>
      </c>
      <c r="I516" s="6">
        <f t="shared" si="41"/>
        <v>0</v>
      </c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16.5">
      <c r="A517" s="41" t="s">
        <v>13</v>
      </c>
      <c r="B517" s="39">
        <v>806</v>
      </c>
      <c r="C517" s="5" t="s">
        <v>57</v>
      </c>
      <c r="D517" s="5" t="s">
        <v>810</v>
      </c>
      <c r="E517" s="5" t="s">
        <v>93</v>
      </c>
      <c r="F517" s="5" t="s">
        <v>572</v>
      </c>
      <c r="G517" s="6">
        <f>'прил.16'!G463</f>
        <v>19118</v>
      </c>
      <c r="H517" s="6">
        <f>'прил.16'!H463</f>
        <v>19127</v>
      </c>
      <c r="I517" s="6">
        <f>'прил.16'!I463</f>
        <v>0</v>
      </c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16.5">
      <c r="A518" s="20" t="s">
        <v>724</v>
      </c>
      <c r="B518" s="39">
        <v>806</v>
      </c>
      <c r="C518" s="5" t="s">
        <v>57</v>
      </c>
      <c r="D518" s="5" t="s">
        <v>59</v>
      </c>
      <c r="E518" s="5"/>
      <c r="F518" s="5"/>
      <c r="G518" s="6">
        <f>G519</f>
        <v>7488.099999999999</v>
      </c>
      <c r="H518" s="6">
        <f>H519</f>
        <v>7526.7</v>
      </c>
      <c r="I518" s="6">
        <f>I519</f>
        <v>7697.7</v>
      </c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16.5">
      <c r="A519" s="45" t="s">
        <v>725</v>
      </c>
      <c r="B519" s="39">
        <v>806</v>
      </c>
      <c r="C519" s="5" t="s">
        <v>57</v>
      </c>
      <c r="D519" s="5" t="s">
        <v>59</v>
      </c>
      <c r="E519" s="5" t="s">
        <v>147</v>
      </c>
      <c r="F519" s="5"/>
      <c r="G519" s="6">
        <f>G520+G522</f>
        <v>7488.099999999999</v>
      </c>
      <c r="H519" s="6">
        <f>H520+H522</f>
        <v>7526.7</v>
      </c>
      <c r="I519" s="6">
        <f>I520+I522</f>
        <v>7697.7</v>
      </c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7.25" customHeight="1">
      <c r="A520" s="45" t="s">
        <v>593</v>
      </c>
      <c r="B520" s="39">
        <v>806</v>
      </c>
      <c r="C520" s="5" t="s">
        <v>57</v>
      </c>
      <c r="D520" s="5" t="s">
        <v>59</v>
      </c>
      <c r="E520" s="5" t="s">
        <v>503</v>
      </c>
      <c r="F520" s="5"/>
      <c r="G520" s="6">
        <f>G521</f>
        <v>219.7</v>
      </c>
      <c r="H520" s="6">
        <f>H521</f>
        <v>219.7</v>
      </c>
      <c r="I520" s="6">
        <f>I521</f>
        <v>219.7</v>
      </c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6.5">
      <c r="A521" s="41" t="s">
        <v>13</v>
      </c>
      <c r="B521" s="39">
        <v>806</v>
      </c>
      <c r="C521" s="5" t="s">
        <v>57</v>
      </c>
      <c r="D521" s="5" t="s">
        <v>59</v>
      </c>
      <c r="E521" s="5" t="s">
        <v>503</v>
      </c>
      <c r="F521" s="5" t="s">
        <v>572</v>
      </c>
      <c r="G521" s="6">
        <f>'прил.16'!G467</f>
        <v>219.7</v>
      </c>
      <c r="H521" s="6">
        <f>'прил.16'!H467</f>
        <v>219.7</v>
      </c>
      <c r="I521" s="6">
        <f>'прил.16'!I467</f>
        <v>219.7</v>
      </c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5.75" customHeight="1">
      <c r="A522" s="45" t="s">
        <v>566</v>
      </c>
      <c r="B522" s="39">
        <v>806</v>
      </c>
      <c r="C522" s="5" t="s">
        <v>57</v>
      </c>
      <c r="D522" s="5" t="s">
        <v>59</v>
      </c>
      <c r="E522" s="5" t="s">
        <v>148</v>
      </c>
      <c r="F522" s="5"/>
      <c r="G522" s="6">
        <f>G523</f>
        <v>7268.4</v>
      </c>
      <c r="H522" s="6">
        <f>H523</f>
        <v>7307</v>
      </c>
      <c r="I522" s="6">
        <f>I523</f>
        <v>7478</v>
      </c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8" customHeight="1">
      <c r="A523" s="41" t="s">
        <v>13</v>
      </c>
      <c r="B523" s="39">
        <v>806</v>
      </c>
      <c r="C523" s="5" t="s">
        <v>57</v>
      </c>
      <c r="D523" s="5" t="s">
        <v>59</v>
      </c>
      <c r="E523" s="5" t="s">
        <v>148</v>
      </c>
      <c r="F523" s="5" t="s">
        <v>572</v>
      </c>
      <c r="G523" s="6">
        <f>'прил.16'!G469</f>
        <v>7268.4</v>
      </c>
      <c r="H523" s="6">
        <f>'прил.16'!H469</f>
        <v>7307</v>
      </c>
      <c r="I523" s="6">
        <f>'прил.16'!I469</f>
        <v>7478</v>
      </c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21.75" customHeight="1">
      <c r="A524" s="20" t="s">
        <v>726</v>
      </c>
      <c r="B524" s="39">
        <v>806</v>
      </c>
      <c r="C524" s="5" t="s">
        <v>57</v>
      </c>
      <c r="D524" s="5" t="s">
        <v>57</v>
      </c>
      <c r="E524" s="5"/>
      <c r="F524" s="5"/>
      <c r="G524" s="6">
        <f>G525+G528+G533+G547+G555+G538+G545</f>
        <v>31336.800000000003</v>
      </c>
      <c r="H524" s="6">
        <f>H525+H528+H533+H547+H555+H538+H545</f>
        <v>35146.5</v>
      </c>
      <c r="I524" s="6">
        <f>I525+I528+I533+I547+I555+I538+I545</f>
        <v>33032.7</v>
      </c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37.5" customHeight="1">
      <c r="A525" s="41" t="s">
        <v>42</v>
      </c>
      <c r="B525" s="39">
        <v>806</v>
      </c>
      <c r="C525" s="5" t="s">
        <v>57</v>
      </c>
      <c r="D525" s="5" t="s">
        <v>57</v>
      </c>
      <c r="E525" s="5" t="s">
        <v>43</v>
      </c>
      <c r="F525" s="5"/>
      <c r="G525" s="6">
        <f aca="true" t="shared" si="42" ref="G525:I526">G526</f>
        <v>8910.5</v>
      </c>
      <c r="H525" s="6">
        <f t="shared" si="42"/>
        <v>8928.699999999999</v>
      </c>
      <c r="I525" s="6">
        <f t="shared" si="42"/>
        <v>8945.8</v>
      </c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6.5">
      <c r="A526" s="41" t="s">
        <v>589</v>
      </c>
      <c r="B526" s="39">
        <v>806</v>
      </c>
      <c r="C526" s="5" t="s">
        <v>57</v>
      </c>
      <c r="D526" s="5" t="s">
        <v>57</v>
      </c>
      <c r="E526" s="5" t="s">
        <v>45</v>
      </c>
      <c r="F526" s="5"/>
      <c r="G526" s="6">
        <f t="shared" si="42"/>
        <v>8910.5</v>
      </c>
      <c r="H526" s="6">
        <f t="shared" si="42"/>
        <v>8928.699999999999</v>
      </c>
      <c r="I526" s="6">
        <f t="shared" si="42"/>
        <v>8945.8</v>
      </c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7.25" customHeight="1">
      <c r="A527" s="41" t="s">
        <v>361</v>
      </c>
      <c r="B527" s="39">
        <v>806</v>
      </c>
      <c r="C527" s="5" t="s">
        <v>57</v>
      </c>
      <c r="D527" s="5" t="s">
        <v>57</v>
      </c>
      <c r="E527" s="5" t="s">
        <v>45</v>
      </c>
      <c r="F527" s="5" t="s">
        <v>214</v>
      </c>
      <c r="G527" s="6">
        <f>'прил.16'!G473</f>
        <v>8910.5</v>
      </c>
      <c r="H527" s="6">
        <f>'прил.16'!H473</f>
        <v>8928.699999999999</v>
      </c>
      <c r="I527" s="6">
        <f>'прил.16'!I473</f>
        <v>8945.8</v>
      </c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7.25" customHeight="1" hidden="1">
      <c r="A528" s="41" t="s">
        <v>128</v>
      </c>
      <c r="B528" s="39"/>
      <c r="C528" s="5" t="s">
        <v>57</v>
      </c>
      <c r="D528" s="5" t="s">
        <v>57</v>
      </c>
      <c r="E528" s="5" t="s">
        <v>817</v>
      </c>
      <c r="F528" s="5"/>
      <c r="G528" s="6">
        <f>G529+G531</f>
        <v>0</v>
      </c>
      <c r="H528" s="6">
        <f>H529+H531</f>
        <v>0</v>
      </c>
      <c r="I528" s="6">
        <f>I529+I531</f>
        <v>0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7.25" customHeight="1" hidden="1">
      <c r="A529" s="41" t="s">
        <v>770</v>
      </c>
      <c r="B529" s="39"/>
      <c r="C529" s="43" t="s">
        <v>57</v>
      </c>
      <c r="D529" s="5" t="s">
        <v>57</v>
      </c>
      <c r="E529" s="5" t="s">
        <v>820</v>
      </c>
      <c r="F529" s="5"/>
      <c r="G529" s="40">
        <f>G530</f>
        <v>0</v>
      </c>
      <c r="H529" s="40">
        <f>H530</f>
        <v>0</v>
      </c>
      <c r="I529" s="40">
        <f>I530</f>
        <v>0</v>
      </c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7.25" customHeight="1" hidden="1">
      <c r="A530" s="20" t="s">
        <v>415</v>
      </c>
      <c r="B530" s="39"/>
      <c r="C530" s="43" t="s">
        <v>57</v>
      </c>
      <c r="D530" s="5" t="s">
        <v>57</v>
      </c>
      <c r="E530" s="5" t="s">
        <v>820</v>
      </c>
      <c r="F530" s="5" t="s">
        <v>4</v>
      </c>
      <c r="G530" s="40">
        <f>'прил.16'!G1015</f>
        <v>0</v>
      </c>
      <c r="H530" s="40">
        <f>'прил.16'!H1015</f>
        <v>0</v>
      </c>
      <c r="I530" s="40">
        <f>'прил.16'!I1015</f>
        <v>0</v>
      </c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20.25" customHeight="1" hidden="1">
      <c r="A531" s="41" t="s">
        <v>269</v>
      </c>
      <c r="B531" s="39">
        <v>841</v>
      </c>
      <c r="C531" s="43" t="s">
        <v>57</v>
      </c>
      <c r="D531" s="5" t="s">
        <v>57</v>
      </c>
      <c r="E531" s="5" t="s">
        <v>828</v>
      </c>
      <c r="F531" s="5"/>
      <c r="G531" s="40">
        <f>G532</f>
        <v>0</v>
      </c>
      <c r="H531" s="40">
        <f>H532</f>
        <v>0</v>
      </c>
      <c r="I531" s="40">
        <f>I532</f>
        <v>0</v>
      </c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7.25" customHeight="1" hidden="1">
      <c r="A532" s="20" t="s">
        <v>206</v>
      </c>
      <c r="B532" s="39">
        <v>841</v>
      </c>
      <c r="C532" s="43" t="s">
        <v>57</v>
      </c>
      <c r="D532" s="5" t="s">
        <v>57</v>
      </c>
      <c r="E532" s="5" t="s">
        <v>828</v>
      </c>
      <c r="F532" s="5" t="s">
        <v>4</v>
      </c>
      <c r="G532" s="40">
        <f>'прил.16'!G1017</f>
        <v>0</v>
      </c>
      <c r="H532" s="40">
        <f>'прил.16'!H1017</f>
        <v>0</v>
      </c>
      <c r="I532" s="40">
        <f>'прил.16'!I1017</f>
        <v>0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53.25" customHeight="1">
      <c r="A533" s="41" t="s">
        <v>700</v>
      </c>
      <c r="B533" s="39">
        <v>806</v>
      </c>
      <c r="C533" s="5" t="s">
        <v>57</v>
      </c>
      <c r="D533" s="5" t="s">
        <v>57</v>
      </c>
      <c r="E533" s="5" t="s">
        <v>555</v>
      </c>
      <c r="F533" s="5"/>
      <c r="G533" s="6">
        <f>G534+G536</f>
        <v>10283.2</v>
      </c>
      <c r="H533" s="6">
        <f>H534+H536</f>
        <v>10232.2</v>
      </c>
      <c r="I533" s="6">
        <f>I534+I536</f>
        <v>10284.2</v>
      </c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6.5" hidden="1">
      <c r="A534" s="45" t="s">
        <v>496</v>
      </c>
      <c r="B534" s="39">
        <v>806</v>
      </c>
      <c r="C534" s="5" t="s">
        <v>57</v>
      </c>
      <c r="D534" s="5" t="s">
        <v>57</v>
      </c>
      <c r="E534" s="5" t="s">
        <v>500</v>
      </c>
      <c r="F534" s="5"/>
      <c r="G534" s="6">
        <f>G535</f>
        <v>0</v>
      </c>
      <c r="H534" s="6">
        <f>H535</f>
        <v>0</v>
      </c>
      <c r="I534" s="6">
        <f>I535</f>
        <v>0</v>
      </c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6.5" hidden="1">
      <c r="A535" s="41" t="s">
        <v>13</v>
      </c>
      <c r="B535" s="39">
        <v>806</v>
      </c>
      <c r="C535" s="5" t="s">
        <v>57</v>
      </c>
      <c r="D535" s="5" t="s">
        <v>57</v>
      </c>
      <c r="E535" s="5" t="s">
        <v>500</v>
      </c>
      <c r="F535" s="5" t="s">
        <v>572</v>
      </c>
      <c r="G535" s="6">
        <f>'прил.16'!G476</f>
        <v>0</v>
      </c>
      <c r="H535" s="6">
        <f>'прил.16'!H476</f>
        <v>0</v>
      </c>
      <c r="I535" s="6">
        <f>'прил.16'!I476</f>
        <v>0</v>
      </c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6.5">
      <c r="A536" s="45" t="s">
        <v>566</v>
      </c>
      <c r="B536" s="39">
        <v>806</v>
      </c>
      <c r="C536" s="5" t="s">
        <v>57</v>
      </c>
      <c r="D536" s="5" t="s">
        <v>57</v>
      </c>
      <c r="E536" s="5" t="s">
        <v>556</v>
      </c>
      <c r="F536" s="5"/>
      <c r="G536" s="6">
        <f>G537</f>
        <v>10283.2</v>
      </c>
      <c r="H536" s="6">
        <f>H537</f>
        <v>10232.2</v>
      </c>
      <c r="I536" s="6">
        <f>I537</f>
        <v>10284.2</v>
      </c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6.5">
      <c r="A537" s="41" t="s">
        <v>13</v>
      </c>
      <c r="B537" s="39">
        <v>806</v>
      </c>
      <c r="C537" s="5" t="s">
        <v>57</v>
      </c>
      <c r="D537" s="5" t="s">
        <v>57</v>
      </c>
      <c r="E537" s="5" t="s">
        <v>556</v>
      </c>
      <c r="F537" s="5" t="s">
        <v>572</v>
      </c>
      <c r="G537" s="6">
        <f>'прил.16'!G478</f>
        <v>10283.2</v>
      </c>
      <c r="H537" s="6">
        <f>'прил.16'!H478</f>
        <v>10232.2</v>
      </c>
      <c r="I537" s="6">
        <f>'прил.16'!I478</f>
        <v>10284.2</v>
      </c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20.25" customHeight="1">
      <c r="A538" s="45" t="s">
        <v>727</v>
      </c>
      <c r="B538" s="39">
        <v>806</v>
      </c>
      <c r="C538" s="5" t="s">
        <v>57</v>
      </c>
      <c r="D538" s="5" t="s">
        <v>57</v>
      </c>
      <c r="E538" s="5" t="s">
        <v>149</v>
      </c>
      <c r="F538" s="5"/>
      <c r="G538" s="6">
        <f>G539+G541</f>
        <v>1581</v>
      </c>
      <c r="H538" s="6">
        <f>H539+H541</f>
        <v>1614.8</v>
      </c>
      <c r="I538" s="6">
        <f>I539+I541</f>
        <v>1648.7</v>
      </c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6.5" hidden="1">
      <c r="A539" s="45" t="s">
        <v>496</v>
      </c>
      <c r="B539" s="39">
        <v>806</v>
      </c>
      <c r="C539" s="5" t="s">
        <v>57</v>
      </c>
      <c r="D539" s="5" t="s">
        <v>57</v>
      </c>
      <c r="E539" s="5" t="s">
        <v>504</v>
      </c>
      <c r="F539" s="5"/>
      <c r="G539" s="6">
        <f>G540</f>
        <v>0</v>
      </c>
      <c r="H539" s="6">
        <f>H540</f>
        <v>0</v>
      </c>
      <c r="I539" s="6">
        <f>I540</f>
        <v>0</v>
      </c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7.25" customHeight="1" hidden="1">
      <c r="A540" s="41" t="s">
        <v>13</v>
      </c>
      <c r="B540" s="39">
        <v>806</v>
      </c>
      <c r="C540" s="5" t="s">
        <v>57</v>
      </c>
      <c r="D540" s="5" t="s">
        <v>57</v>
      </c>
      <c r="E540" s="5" t="s">
        <v>504</v>
      </c>
      <c r="F540" s="5" t="s">
        <v>572</v>
      </c>
      <c r="G540" s="6">
        <f>'прил.16'!G481</f>
        <v>0</v>
      </c>
      <c r="H540" s="6">
        <f>'прил.16'!H481</f>
        <v>0</v>
      </c>
      <c r="I540" s="6">
        <f>'прил.16'!I481</f>
        <v>0</v>
      </c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s="25" customFormat="1" ht="17.25" customHeight="1">
      <c r="A541" s="45" t="s">
        <v>566</v>
      </c>
      <c r="B541" s="39">
        <v>806</v>
      </c>
      <c r="C541" s="5" t="s">
        <v>57</v>
      </c>
      <c r="D541" s="5" t="s">
        <v>57</v>
      </c>
      <c r="E541" s="5" t="s">
        <v>150</v>
      </c>
      <c r="F541" s="5"/>
      <c r="G541" s="6">
        <f>G542</f>
        <v>1581</v>
      </c>
      <c r="H541" s="6">
        <f>H542</f>
        <v>1614.8</v>
      </c>
      <c r="I541" s="6">
        <f>I542</f>
        <v>1648.7</v>
      </c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s="26" customFormat="1" ht="16.5">
      <c r="A542" s="41" t="s">
        <v>13</v>
      </c>
      <c r="B542" s="39">
        <v>806</v>
      </c>
      <c r="C542" s="5" t="s">
        <v>57</v>
      </c>
      <c r="D542" s="5" t="s">
        <v>57</v>
      </c>
      <c r="E542" s="5" t="s">
        <v>150</v>
      </c>
      <c r="F542" s="5" t="s">
        <v>572</v>
      </c>
      <c r="G542" s="6">
        <f>'прил.16'!G483</f>
        <v>1581</v>
      </c>
      <c r="H542" s="6">
        <f>'прил.16'!H483</f>
        <v>1614.8</v>
      </c>
      <c r="I542" s="6">
        <f>'прил.16'!I483</f>
        <v>1648.7</v>
      </c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9" s="13" customFormat="1" ht="16.5">
      <c r="A543" s="41" t="s">
        <v>728</v>
      </c>
      <c r="B543" s="39"/>
      <c r="C543" s="5" t="s">
        <v>57</v>
      </c>
      <c r="D543" s="5" t="s">
        <v>57</v>
      </c>
      <c r="E543" s="5" t="s">
        <v>340</v>
      </c>
      <c r="F543" s="5"/>
      <c r="G543" s="6">
        <f aca="true" t="shared" si="43" ref="G543:I545">G544</f>
        <v>3882.4</v>
      </c>
      <c r="H543" s="6">
        <f t="shared" si="43"/>
        <v>3882.4</v>
      </c>
      <c r="I543" s="6">
        <f t="shared" si="43"/>
        <v>3882.4</v>
      </c>
    </row>
    <row r="544" spans="1:9" s="13" customFormat="1" ht="16.5">
      <c r="A544" s="41" t="s">
        <v>729</v>
      </c>
      <c r="B544" s="39"/>
      <c r="C544" s="5" t="s">
        <v>57</v>
      </c>
      <c r="D544" s="5" t="s">
        <v>57</v>
      </c>
      <c r="E544" s="5" t="s">
        <v>440</v>
      </c>
      <c r="F544" s="5"/>
      <c r="G544" s="6">
        <f t="shared" si="43"/>
        <v>3882.4</v>
      </c>
      <c r="H544" s="6">
        <f t="shared" si="43"/>
        <v>3882.4</v>
      </c>
      <c r="I544" s="6">
        <f t="shared" si="43"/>
        <v>3882.4</v>
      </c>
    </row>
    <row r="545" spans="1:9" s="13" customFormat="1" ht="33">
      <c r="A545" s="41" t="s">
        <v>730</v>
      </c>
      <c r="B545" s="39"/>
      <c r="C545" s="5" t="s">
        <v>57</v>
      </c>
      <c r="D545" s="5" t="s">
        <v>57</v>
      </c>
      <c r="E545" s="5" t="s">
        <v>439</v>
      </c>
      <c r="F545" s="5"/>
      <c r="G545" s="6">
        <f t="shared" si="43"/>
        <v>3882.4</v>
      </c>
      <c r="H545" s="6">
        <f t="shared" si="43"/>
        <v>3882.4</v>
      </c>
      <c r="I545" s="6">
        <f t="shared" si="43"/>
        <v>3882.4</v>
      </c>
    </row>
    <row r="546" spans="1:9" s="13" customFormat="1" ht="16.5">
      <c r="A546" s="41" t="s">
        <v>621</v>
      </c>
      <c r="B546" s="39"/>
      <c r="C546" s="5" t="s">
        <v>57</v>
      </c>
      <c r="D546" s="5" t="s">
        <v>57</v>
      </c>
      <c r="E546" s="5" t="s">
        <v>439</v>
      </c>
      <c r="F546" s="5" t="s">
        <v>277</v>
      </c>
      <c r="G546" s="6">
        <f>'прил.16'!G487</f>
        <v>3882.4</v>
      </c>
      <c r="H546" s="6">
        <f>'прил.16'!H487</f>
        <v>3882.4</v>
      </c>
      <c r="I546" s="6">
        <f>'прил.16'!I487</f>
        <v>3882.4</v>
      </c>
    </row>
    <row r="547" spans="1:23" ht="16.5">
      <c r="A547" s="41" t="s">
        <v>394</v>
      </c>
      <c r="B547" s="39">
        <v>806</v>
      </c>
      <c r="C547" s="5" t="s">
        <v>57</v>
      </c>
      <c r="D547" s="5" t="s">
        <v>57</v>
      </c>
      <c r="E547" s="5" t="s">
        <v>395</v>
      </c>
      <c r="F547" s="5"/>
      <c r="G547" s="6">
        <f>G550+G552+G548</f>
        <v>2500</v>
      </c>
      <c r="H547" s="6">
        <f>H550+H552+H548</f>
        <v>5756</v>
      </c>
      <c r="I547" s="6">
        <f>I550+I552+I548</f>
        <v>0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33">
      <c r="A548" s="42" t="s">
        <v>731</v>
      </c>
      <c r="B548" s="39"/>
      <c r="C548" s="5" t="s">
        <v>57</v>
      </c>
      <c r="D548" s="5" t="s">
        <v>57</v>
      </c>
      <c r="E548" s="5" t="s">
        <v>442</v>
      </c>
      <c r="F548" s="5"/>
      <c r="G548" s="6">
        <f>G549</f>
        <v>0</v>
      </c>
      <c r="H548" s="6">
        <f>H549</f>
        <v>3056</v>
      </c>
      <c r="I548" s="6">
        <f>I549</f>
        <v>0</v>
      </c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6.5">
      <c r="A549" s="41" t="s">
        <v>621</v>
      </c>
      <c r="B549" s="39"/>
      <c r="C549" s="5" t="s">
        <v>57</v>
      </c>
      <c r="D549" s="5" t="s">
        <v>57</v>
      </c>
      <c r="E549" s="5" t="s">
        <v>442</v>
      </c>
      <c r="F549" s="5" t="s">
        <v>277</v>
      </c>
      <c r="G549" s="6">
        <f>'прил.16'!G490</f>
        <v>0</v>
      </c>
      <c r="H549" s="6">
        <f>'прил.16'!H490</f>
        <v>3056</v>
      </c>
      <c r="I549" s="6">
        <f>'прил.16'!I490</f>
        <v>0</v>
      </c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33">
      <c r="A550" s="41" t="s">
        <v>732</v>
      </c>
      <c r="B550" s="39">
        <v>806</v>
      </c>
      <c r="C550" s="5" t="s">
        <v>57</v>
      </c>
      <c r="D550" s="5" t="s">
        <v>57</v>
      </c>
      <c r="E550" s="5" t="s">
        <v>95</v>
      </c>
      <c r="F550" s="5"/>
      <c r="G550" s="6">
        <f>G551</f>
        <v>2500</v>
      </c>
      <c r="H550" s="6">
        <f>H551</f>
        <v>2700</v>
      </c>
      <c r="I550" s="6">
        <f>I551</f>
        <v>0</v>
      </c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9.5" customHeight="1">
      <c r="A551" s="20" t="s">
        <v>621</v>
      </c>
      <c r="B551" s="39">
        <v>806</v>
      </c>
      <c r="C551" s="5" t="s">
        <v>57</v>
      </c>
      <c r="D551" s="5" t="s">
        <v>57</v>
      </c>
      <c r="E551" s="5" t="s">
        <v>95</v>
      </c>
      <c r="F551" s="5" t="s">
        <v>277</v>
      </c>
      <c r="G551" s="6">
        <f>'прил.16'!G492+'прил.16'!G910</f>
        <v>2500</v>
      </c>
      <c r="H551" s="6">
        <f>'прил.16'!H492+'прил.16'!H910</f>
        <v>2700</v>
      </c>
      <c r="I551" s="6">
        <f>'прил.16'!I492+'прил.16'!I910</f>
        <v>0</v>
      </c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35.25" customHeight="1" hidden="1">
      <c r="A552" s="45" t="s">
        <v>243</v>
      </c>
      <c r="B552" s="39"/>
      <c r="C552" s="5" t="s">
        <v>57</v>
      </c>
      <c r="D552" s="5" t="s">
        <v>57</v>
      </c>
      <c r="E552" s="5" t="s">
        <v>229</v>
      </c>
      <c r="F552" s="5"/>
      <c r="G552" s="6">
        <f>G553</f>
        <v>0</v>
      </c>
      <c r="H552" s="6">
        <f>H553</f>
        <v>0</v>
      </c>
      <c r="I552" s="6">
        <f>I553</f>
        <v>0</v>
      </c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33" hidden="1">
      <c r="A553" s="20" t="s">
        <v>17</v>
      </c>
      <c r="B553" s="39"/>
      <c r="C553" s="5" t="s">
        <v>57</v>
      </c>
      <c r="D553" s="5" t="s">
        <v>57</v>
      </c>
      <c r="E553" s="5" t="s">
        <v>229</v>
      </c>
      <c r="F553" s="5" t="s">
        <v>16</v>
      </c>
      <c r="G553" s="6"/>
      <c r="H553" s="6"/>
      <c r="I553" s="6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16.5">
      <c r="A554" s="45" t="s">
        <v>364</v>
      </c>
      <c r="B554" s="39"/>
      <c r="C554" s="5" t="s">
        <v>57</v>
      </c>
      <c r="D554" s="5" t="s">
        <v>57</v>
      </c>
      <c r="E554" s="5" t="s">
        <v>358</v>
      </c>
      <c r="F554" s="5"/>
      <c r="G554" s="6">
        <f>G555</f>
        <v>4179.7</v>
      </c>
      <c r="H554" s="6">
        <f>H555</f>
        <v>4732.400000000001</v>
      </c>
      <c r="I554" s="6">
        <f>I555</f>
        <v>8271.6</v>
      </c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16.5">
      <c r="A555" s="45" t="s">
        <v>394</v>
      </c>
      <c r="B555" s="39">
        <v>806</v>
      </c>
      <c r="C555" s="5" t="s">
        <v>57</v>
      </c>
      <c r="D555" s="5" t="s">
        <v>57</v>
      </c>
      <c r="E555" s="5" t="s">
        <v>359</v>
      </c>
      <c r="F555" s="5"/>
      <c r="G555" s="6">
        <f>G556+G558</f>
        <v>4179.7</v>
      </c>
      <c r="H555" s="6">
        <f>H556+H558</f>
        <v>4732.400000000001</v>
      </c>
      <c r="I555" s="6">
        <f>I556+I558</f>
        <v>8271.6</v>
      </c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8" customHeight="1">
      <c r="A556" s="45" t="s">
        <v>216</v>
      </c>
      <c r="B556" s="39">
        <v>806</v>
      </c>
      <c r="C556" s="5" t="s">
        <v>57</v>
      </c>
      <c r="D556" s="5" t="s">
        <v>57</v>
      </c>
      <c r="E556" s="5" t="s">
        <v>369</v>
      </c>
      <c r="F556" s="5"/>
      <c r="G556" s="6">
        <f>G557</f>
        <v>629.3</v>
      </c>
      <c r="H556" s="6">
        <f>H557</f>
        <v>707.6</v>
      </c>
      <c r="I556" s="6">
        <f>I557</f>
        <v>1167.6</v>
      </c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6.5">
      <c r="A557" s="41" t="s">
        <v>621</v>
      </c>
      <c r="B557" s="39">
        <v>806</v>
      </c>
      <c r="C557" s="5" t="s">
        <v>57</v>
      </c>
      <c r="D557" s="5" t="s">
        <v>57</v>
      </c>
      <c r="E557" s="5" t="s">
        <v>369</v>
      </c>
      <c r="F557" s="5" t="s">
        <v>277</v>
      </c>
      <c r="G557" s="6">
        <f>'прил.16'!G496</f>
        <v>629.3</v>
      </c>
      <c r="H557" s="6">
        <f>'прил.16'!H496</f>
        <v>707.6</v>
      </c>
      <c r="I557" s="6">
        <f>'прил.16'!I496</f>
        <v>1167.6</v>
      </c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6.5" customHeight="1">
      <c r="A558" s="45" t="s">
        <v>793</v>
      </c>
      <c r="B558" s="39">
        <v>806</v>
      </c>
      <c r="C558" s="5" t="s">
        <v>57</v>
      </c>
      <c r="D558" s="5" t="s">
        <v>57</v>
      </c>
      <c r="E558" s="5" t="s">
        <v>365</v>
      </c>
      <c r="F558" s="5"/>
      <c r="G558" s="6">
        <f>G559</f>
        <v>3550.4</v>
      </c>
      <c r="H558" s="6">
        <f>H559</f>
        <v>4024.8</v>
      </c>
      <c r="I558" s="6">
        <f>I559</f>
        <v>7104</v>
      </c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20.25" customHeight="1">
      <c r="A559" s="41" t="s">
        <v>621</v>
      </c>
      <c r="B559" s="39">
        <v>806</v>
      </c>
      <c r="C559" s="5" t="s">
        <v>57</v>
      </c>
      <c r="D559" s="5" t="s">
        <v>57</v>
      </c>
      <c r="E559" s="5" t="s">
        <v>365</v>
      </c>
      <c r="F559" s="5" t="s">
        <v>277</v>
      </c>
      <c r="G559" s="6">
        <f>'прил.16'!G498</f>
        <v>3550.4</v>
      </c>
      <c r="H559" s="6">
        <f>'прил.16'!H498</f>
        <v>4024.8</v>
      </c>
      <c r="I559" s="6">
        <f>'прил.16'!I498</f>
        <v>7104</v>
      </c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6.5">
      <c r="A560" s="45" t="s">
        <v>491</v>
      </c>
      <c r="B560" s="45"/>
      <c r="C560" s="5" t="s">
        <v>492</v>
      </c>
      <c r="D560" s="5"/>
      <c r="E560" s="5"/>
      <c r="F560" s="5"/>
      <c r="G560" s="6">
        <f>G561+G565+G572+G611+G617</f>
        <v>994874.9</v>
      </c>
      <c r="H560" s="6">
        <f>H561+H565+H572+H611+H617</f>
        <v>868260.5</v>
      </c>
      <c r="I560" s="6">
        <f>I561+I565+I572+I611+I617</f>
        <v>882787.7000000001</v>
      </c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16.5">
      <c r="A561" s="45" t="s">
        <v>733</v>
      </c>
      <c r="B561" s="39">
        <v>801</v>
      </c>
      <c r="C561" s="5" t="s">
        <v>492</v>
      </c>
      <c r="D561" s="5" t="s">
        <v>807</v>
      </c>
      <c r="E561" s="5"/>
      <c r="F561" s="5"/>
      <c r="G561" s="6">
        <f>G562</f>
        <v>6423.6</v>
      </c>
      <c r="H561" s="6">
        <f aca="true" t="shared" si="44" ref="H561:I563">H562</f>
        <v>6500</v>
      </c>
      <c r="I561" s="6">
        <f t="shared" si="44"/>
        <v>6500</v>
      </c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s="25" customFormat="1" ht="16.5">
      <c r="A562" s="41" t="s">
        <v>734</v>
      </c>
      <c r="B562" s="39">
        <v>801</v>
      </c>
      <c r="C562" s="5" t="s">
        <v>492</v>
      </c>
      <c r="D562" s="5" t="s">
        <v>807</v>
      </c>
      <c r="E562" s="5" t="s">
        <v>383</v>
      </c>
      <c r="F562" s="5"/>
      <c r="G562" s="6">
        <f>G563</f>
        <v>6423.6</v>
      </c>
      <c r="H562" s="6">
        <f t="shared" si="44"/>
        <v>6500</v>
      </c>
      <c r="I562" s="6">
        <f t="shared" si="44"/>
        <v>6500</v>
      </c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s="26" customFormat="1" ht="33">
      <c r="A563" s="41" t="s">
        <v>735</v>
      </c>
      <c r="B563" s="39">
        <v>801</v>
      </c>
      <c r="C563" s="5" t="s">
        <v>492</v>
      </c>
      <c r="D563" s="5" t="s">
        <v>807</v>
      </c>
      <c r="E563" s="5" t="s">
        <v>386</v>
      </c>
      <c r="F563" s="5"/>
      <c r="G563" s="6">
        <f>G564</f>
        <v>6423.6</v>
      </c>
      <c r="H563" s="6">
        <f t="shared" si="44"/>
        <v>6500</v>
      </c>
      <c r="I563" s="6">
        <f t="shared" si="44"/>
        <v>6500</v>
      </c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16.5">
      <c r="A564" s="20" t="s">
        <v>736</v>
      </c>
      <c r="B564" s="39">
        <v>801</v>
      </c>
      <c r="C564" s="5" t="s">
        <v>492</v>
      </c>
      <c r="D564" s="5" t="s">
        <v>807</v>
      </c>
      <c r="E564" s="5" t="s">
        <v>386</v>
      </c>
      <c r="F564" s="5" t="s">
        <v>68</v>
      </c>
      <c r="G564" s="6">
        <f>'прил.16'!G132</f>
        <v>6423.6</v>
      </c>
      <c r="H564" s="6">
        <f>'прил.16'!H132</f>
        <v>6500</v>
      </c>
      <c r="I564" s="6">
        <f>'прил.16'!I132</f>
        <v>6500</v>
      </c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16.5" hidden="1">
      <c r="A565" s="45" t="s">
        <v>185</v>
      </c>
      <c r="B565" s="39">
        <v>810</v>
      </c>
      <c r="C565" s="5" t="s">
        <v>492</v>
      </c>
      <c r="D565" s="5" t="s">
        <v>808</v>
      </c>
      <c r="E565" s="5"/>
      <c r="F565" s="5"/>
      <c r="G565" s="6">
        <f>G566+G569</f>
        <v>0</v>
      </c>
      <c r="H565" s="6">
        <f>H566+H569</f>
        <v>0</v>
      </c>
      <c r="I565" s="6">
        <f>I566+I569</f>
        <v>0</v>
      </c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6.5" hidden="1">
      <c r="A566" s="45" t="s">
        <v>191</v>
      </c>
      <c r="B566" s="39">
        <v>810</v>
      </c>
      <c r="C566" s="5" t="s">
        <v>492</v>
      </c>
      <c r="D566" s="5" t="s">
        <v>808</v>
      </c>
      <c r="E566" s="5" t="s">
        <v>186</v>
      </c>
      <c r="F566" s="5"/>
      <c r="G566" s="6">
        <f aca="true" t="shared" si="45" ref="G566:I567">G567</f>
        <v>0</v>
      </c>
      <c r="H566" s="6">
        <f t="shared" si="45"/>
        <v>0</v>
      </c>
      <c r="I566" s="6">
        <f t="shared" si="45"/>
        <v>0</v>
      </c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6.5" hidden="1">
      <c r="A567" s="45" t="s">
        <v>403</v>
      </c>
      <c r="B567" s="39">
        <v>810</v>
      </c>
      <c r="C567" s="5" t="s">
        <v>492</v>
      </c>
      <c r="D567" s="5" t="s">
        <v>808</v>
      </c>
      <c r="E567" s="5" t="s">
        <v>192</v>
      </c>
      <c r="F567" s="5"/>
      <c r="G567" s="6">
        <f t="shared" si="45"/>
        <v>0</v>
      </c>
      <c r="H567" s="6">
        <f t="shared" si="45"/>
        <v>0</v>
      </c>
      <c r="I567" s="6">
        <f t="shared" si="45"/>
        <v>0</v>
      </c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6.5" hidden="1">
      <c r="A568" s="41" t="s">
        <v>13</v>
      </c>
      <c r="B568" s="39">
        <v>810</v>
      </c>
      <c r="C568" s="5" t="s">
        <v>492</v>
      </c>
      <c r="D568" s="5" t="s">
        <v>808</v>
      </c>
      <c r="E568" s="5" t="s">
        <v>192</v>
      </c>
      <c r="F568" s="5" t="s">
        <v>572</v>
      </c>
      <c r="G568" s="6">
        <f>'прил.16'!G730</f>
        <v>0</v>
      </c>
      <c r="H568" s="6">
        <f>'прил.16'!H730</f>
        <v>0</v>
      </c>
      <c r="I568" s="6">
        <f>'прил.16'!I730</f>
        <v>0</v>
      </c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18.75" customHeight="1" hidden="1">
      <c r="A569" s="41" t="s">
        <v>176</v>
      </c>
      <c r="B569" s="39"/>
      <c r="C569" s="5" t="s">
        <v>492</v>
      </c>
      <c r="D569" s="5" t="s">
        <v>808</v>
      </c>
      <c r="E569" s="5" t="s">
        <v>174</v>
      </c>
      <c r="F569" s="5"/>
      <c r="G569" s="6">
        <f aca="true" t="shared" si="46" ref="G569:I570">G570</f>
        <v>0</v>
      </c>
      <c r="H569" s="6">
        <f t="shared" si="46"/>
        <v>0</v>
      </c>
      <c r="I569" s="6">
        <f t="shared" si="46"/>
        <v>0</v>
      </c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23.75" customHeight="1" hidden="1">
      <c r="A570" s="41" t="s">
        <v>247</v>
      </c>
      <c r="B570" s="39"/>
      <c r="C570" s="5" t="s">
        <v>492</v>
      </c>
      <c r="D570" s="5" t="s">
        <v>808</v>
      </c>
      <c r="E570" s="5" t="s">
        <v>172</v>
      </c>
      <c r="F570" s="5"/>
      <c r="G570" s="6">
        <f t="shared" si="46"/>
        <v>0</v>
      </c>
      <c r="H570" s="6">
        <f t="shared" si="46"/>
        <v>0</v>
      </c>
      <c r="I570" s="6">
        <f t="shared" si="46"/>
        <v>0</v>
      </c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8" customHeight="1" hidden="1">
      <c r="A571" s="41" t="s">
        <v>13</v>
      </c>
      <c r="B571" s="39"/>
      <c r="C571" s="5" t="s">
        <v>492</v>
      </c>
      <c r="D571" s="5" t="s">
        <v>808</v>
      </c>
      <c r="E571" s="5" t="s">
        <v>172</v>
      </c>
      <c r="F571" s="5" t="s">
        <v>572</v>
      </c>
      <c r="G571" s="6">
        <f>'прил.16'!G733</f>
        <v>0</v>
      </c>
      <c r="H571" s="6">
        <f>'прил.16'!H733</f>
        <v>0</v>
      </c>
      <c r="I571" s="6">
        <f>'прил.16'!I733</f>
        <v>0</v>
      </c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6.5">
      <c r="A572" s="45" t="s">
        <v>387</v>
      </c>
      <c r="B572" s="39">
        <v>810</v>
      </c>
      <c r="C572" s="5" t="s">
        <v>492</v>
      </c>
      <c r="D572" s="5" t="s">
        <v>809</v>
      </c>
      <c r="E572" s="5"/>
      <c r="F572" s="5"/>
      <c r="G572" s="6">
        <f>G576+G586+G595+G598</f>
        <v>879536.1</v>
      </c>
      <c r="H572" s="6">
        <f>H576+H586+H595+H598</f>
        <v>762071.7</v>
      </c>
      <c r="I572" s="6">
        <f>I576+I586+I595+I598</f>
        <v>775738.5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8.75" customHeight="1" hidden="1">
      <c r="A573" s="41" t="s">
        <v>579</v>
      </c>
      <c r="B573" s="39"/>
      <c r="C573" s="5" t="s">
        <v>492</v>
      </c>
      <c r="D573" s="5" t="s">
        <v>809</v>
      </c>
      <c r="E573" s="5" t="s">
        <v>388</v>
      </c>
      <c r="F573" s="5"/>
      <c r="G573" s="6" t="e">
        <f aca="true" t="shared" si="47" ref="G573:I574">G574</f>
        <v>#REF!</v>
      </c>
      <c r="H573" s="6" t="e">
        <f t="shared" si="47"/>
        <v>#REF!</v>
      </c>
      <c r="I573" s="6" t="e">
        <f t="shared" si="47"/>
        <v>#REF!</v>
      </c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6.5" hidden="1">
      <c r="A574" s="19" t="s">
        <v>389</v>
      </c>
      <c r="B574" s="39"/>
      <c r="C574" s="5" t="s">
        <v>492</v>
      </c>
      <c r="D574" s="5" t="s">
        <v>809</v>
      </c>
      <c r="E574" s="5" t="s">
        <v>390</v>
      </c>
      <c r="F574" s="5"/>
      <c r="G574" s="6" t="e">
        <f t="shared" si="47"/>
        <v>#REF!</v>
      </c>
      <c r="H574" s="6" t="e">
        <f t="shared" si="47"/>
        <v>#REF!</v>
      </c>
      <c r="I574" s="6" t="e">
        <f t="shared" si="47"/>
        <v>#REF!</v>
      </c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6.5" hidden="1">
      <c r="A575" s="45" t="s">
        <v>391</v>
      </c>
      <c r="B575" s="39"/>
      <c r="C575" s="5" t="s">
        <v>492</v>
      </c>
      <c r="D575" s="5" t="s">
        <v>809</v>
      </c>
      <c r="E575" s="5" t="s">
        <v>390</v>
      </c>
      <c r="F575" s="5" t="s">
        <v>1</v>
      </c>
      <c r="G575" s="6" t="e">
        <f>'прил.16'!#REF!</f>
        <v>#REF!</v>
      </c>
      <c r="H575" s="6" t="e">
        <f>'прил.16'!#REF!</f>
        <v>#REF!</v>
      </c>
      <c r="I575" s="6" t="e">
        <f>'прил.16'!#REF!</f>
        <v>#REF!</v>
      </c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s="25" customFormat="1" ht="16.5">
      <c r="A576" s="45" t="s">
        <v>737</v>
      </c>
      <c r="B576" s="39">
        <v>810</v>
      </c>
      <c r="C576" s="5" t="s">
        <v>492</v>
      </c>
      <c r="D576" s="5" t="s">
        <v>809</v>
      </c>
      <c r="E576" s="5" t="s">
        <v>392</v>
      </c>
      <c r="F576" s="5"/>
      <c r="G576" s="6">
        <f>G577+G582+G584</f>
        <v>219860.6</v>
      </c>
      <c r="H576" s="6">
        <f>H577+H582+H584</f>
        <v>233392.90000000002</v>
      </c>
      <c r="I576" s="6">
        <f>I577+I582+I584</f>
        <v>246771.80000000002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s="26" customFormat="1" ht="120.75" customHeight="1">
      <c r="A577" s="42" t="s">
        <v>255</v>
      </c>
      <c r="B577" s="39">
        <v>801</v>
      </c>
      <c r="C577" s="5" t="s">
        <v>492</v>
      </c>
      <c r="D577" s="5" t="s">
        <v>809</v>
      </c>
      <c r="E577" s="5" t="s">
        <v>393</v>
      </c>
      <c r="F577" s="5"/>
      <c r="G577" s="6">
        <f>G579+G581</f>
        <v>12333.6</v>
      </c>
      <c r="H577" s="6">
        <f>H579+H581</f>
        <v>12333.6</v>
      </c>
      <c r="I577" s="6">
        <f>I579+I581</f>
        <v>12333.6</v>
      </c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9" s="13" customFormat="1" ht="88.5" customHeight="1" hidden="1">
      <c r="A578" s="42" t="s">
        <v>483</v>
      </c>
      <c r="B578" s="39"/>
      <c r="C578" s="5" t="s">
        <v>492</v>
      </c>
      <c r="D578" s="5" t="s">
        <v>809</v>
      </c>
      <c r="E578" s="5" t="s">
        <v>73</v>
      </c>
      <c r="F578" s="5"/>
      <c r="G578" s="6">
        <f>G579</f>
        <v>0</v>
      </c>
      <c r="H578" s="6">
        <f>H579</f>
        <v>0</v>
      </c>
      <c r="I578" s="6">
        <f>I579</f>
        <v>0</v>
      </c>
    </row>
    <row r="579" spans="1:9" s="13" customFormat="1" ht="18" customHeight="1" hidden="1">
      <c r="A579" s="45" t="s">
        <v>567</v>
      </c>
      <c r="B579" s="39"/>
      <c r="C579" s="5" t="s">
        <v>492</v>
      </c>
      <c r="D579" s="5" t="s">
        <v>809</v>
      </c>
      <c r="E579" s="5" t="s">
        <v>73</v>
      </c>
      <c r="F579" s="5" t="s">
        <v>68</v>
      </c>
      <c r="G579" s="6">
        <f>'прил.16'!G137</f>
        <v>0</v>
      </c>
      <c r="H579" s="6">
        <f>'прил.16'!H137</f>
        <v>0</v>
      </c>
      <c r="I579" s="6">
        <f>'прил.16'!I137</f>
        <v>0</v>
      </c>
    </row>
    <row r="580" spans="1:9" s="13" customFormat="1" ht="67.5" customHeight="1">
      <c r="A580" s="42" t="s">
        <v>738</v>
      </c>
      <c r="B580" s="39"/>
      <c r="C580" s="5" t="s">
        <v>492</v>
      </c>
      <c r="D580" s="5" t="s">
        <v>809</v>
      </c>
      <c r="E580" s="5" t="s">
        <v>541</v>
      </c>
      <c r="F580" s="5"/>
      <c r="G580" s="6">
        <f>G581</f>
        <v>12333.6</v>
      </c>
      <c r="H580" s="6">
        <f>H581</f>
        <v>12333.6</v>
      </c>
      <c r="I580" s="6">
        <f>I581</f>
        <v>12333.6</v>
      </c>
    </row>
    <row r="581" spans="1:23" ht="16.5">
      <c r="A581" s="45" t="s">
        <v>567</v>
      </c>
      <c r="B581" s="39">
        <v>801</v>
      </c>
      <c r="C581" s="5" t="s">
        <v>492</v>
      </c>
      <c r="D581" s="5" t="s">
        <v>809</v>
      </c>
      <c r="E581" s="5" t="s">
        <v>541</v>
      </c>
      <c r="F581" s="5" t="s">
        <v>68</v>
      </c>
      <c r="G581" s="6">
        <f>'прил.16'!G139</f>
        <v>12333.6</v>
      </c>
      <c r="H581" s="6">
        <f>'прил.16'!H139</f>
        <v>12333.6</v>
      </c>
      <c r="I581" s="6">
        <f>'прил.16'!I139</f>
        <v>12333.6</v>
      </c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9" s="13" customFormat="1" ht="22.5" customHeight="1">
      <c r="A582" s="20" t="s">
        <v>228</v>
      </c>
      <c r="B582" s="39"/>
      <c r="C582" s="5" t="s">
        <v>492</v>
      </c>
      <c r="D582" s="5" t="s">
        <v>809</v>
      </c>
      <c r="E582" s="5" t="s">
        <v>223</v>
      </c>
      <c r="F582" s="5"/>
      <c r="G582" s="6">
        <f>G583</f>
        <v>152963.5</v>
      </c>
      <c r="H582" s="6">
        <f>H583</f>
        <v>168894.7</v>
      </c>
      <c r="I582" s="6">
        <f>I583</f>
        <v>182273.6</v>
      </c>
    </row>
    <row r="583" spans="1:9" s="13" customFormat="1" ht="17.25" customHeight="1">
      <c r="A583" s="20" t="s">
        <v>736</v>
      </c>
      <c r="B583" s="39"/>
      <c r="C583" s="5" t="s">
        <v>492</v>
      </c>
      <c r="D583" s="5" t="s">
        <v>809</v>
      </c>
      <c r="E583" s="5" t="s">
        <v>98</v>
      </c>
      <c r="F583" s="5" t="s">
        <v>68</v>
      </c>
      <c r="G583" s="6">
        <f>'прил.16'!G737</f>
        <v>152963.5</v>
      </c>
      <c r="H583" s="6">
        <f>'прил.16'!H737</f>
        <v>168894.7</v>
      </c>
      <c r="I583" s="6">
        <f>'прил.16'!I737</f>
        <v>182273.6</v>
      </c>
    </row>
    <row r="584" spans="1:23" ht="36" customHeight="1">
      <c r="A584" s="50" t="s">
        <v>338</v>
      </c>
      <c r="B584" s="39">
        <v>810</v>
      </c>
      <c r="C584" s="5" t="s">
        <v>492</v>
      </c>
      <c r="D584" s="5" t="s">
        <v>809</v>
      </c>
      <c r="E584" s="5" t="s">
        <v>294</v>
      </c>
      <c r="F584" s="5"/>
      <c r="G584" s="6">
        <f>G585</f>
        <v>54563.5</v>
      </c>
      <c r="H584" s="6">
        <f>H585</f>
        <v>52164.6</v>
      </c>
      <c r="I584" s="6">
        <f>I585</f>
        <v>52164.6</v>
      </c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21" customHeight="1">
      <c r="A585" s="20" t="s">
        <v>736</v>
      </c>
      <c r="B585" s="39">
        <v>810</v>
      </c>
      <c r="C585" s="5" t="s">
        <v>492</v>
      </c>
      <c r="D585" s="5" t="s">
        <v>809</v>
      </c>
      <c r="E585" s="5" t="s">
        <v>294</v>
      </c>
      <c r="F585" s="5" t="s">
        <v>68</v>
      </c>
      <c r="G585" s="6">
        <f>'прил.16'!G739</f>
        <v>54563.5</v>
      </c>
      <c r="H585" s="6">
        <f>'прил.16'!H739</f>
        <v>52164.6</v>
      </c>
      <c r="I585" s="6">
        <f>'прил.16'!I739</f>
        <v>52164.6</v>
      </c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19.5" customHeight="1">
      <c r="A586" s="20" t="s">
        <v>428</v>
      </c>
      <c r="B586" s="39">
        <v>810</v>
      </c>
      <c r="C586" s="5" t="s">
        <v>492</v>
      </c>
      <c r="D586" s="5" t="s">
        <v>809</v>
      </c>
      <c r="E586" s="5" t="s">
        <v>430</v>
      </c>
      <c r="F586" s="5"/>
      <c r="G586" s="6">
        <f>G587+G590</f>
        <v>7457</v>
      </c>
      <c r="H586" s="6">
        <f>H587+H590</f>
        <v>7915.200000000001</v>
      </c>
      <c r="I586" s="6">
        <f>I587+I590</f>
        <v>8418.3</v>
      </c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20.25" customHeight="1">
      <c r="A587" s="45" t="s">
        <v>739</v>
      </c>
      <c r="B587" s="39">
        <v>810</v>
      </c>
      <c r="C587" s="5" t="s">
        <v>492</v>
      </c>
      <c r="D587" s="5" t="s">
        <v>809</v>
      </c>
      <c r="E587" s="5" t="s">
        <v>431</v>
      </c>
      <c r="F587" s="5"/>
      <c r="G587" s="6">
        <f>G588</f>
        <v>6518.2</v>
      </c>
      <c r="H587" s="6">
        <f>H588</f>
        <v>6933.8</v>
      </c>
      <c r="I587" s="6">
        <f>I588</f>
        <v>7394.599999999999</v>
      </c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20.25" customHeight="1">
      <c r="A588" s="45" t="s">
        <v>813</v>
      </c>
      <c r="B588" s="39">
        <v>810</v>
      </c>
      <c r="C588" s="5" t="s">
        <v>492</v>
      </c>
      <c r="D588" s="5" t="s">
        <v>809</v>
      </c>
      <c r="E588" s="5" t="s">
        <v>812</v>
      </c>
      <c r="F588" s="5"/>
      <c r="G588" s="6">
        <f>SUM(G589)</f>
        <v>6518.2</v>
      </c>
      <c r="H588" s="6">
        <f>SUM(H589)</f>
        <v>6933.8</v>
      </c>
      <c r="I588" s="6">
        <f>SUM(I589)</f>
        <v>7394.599999999999</v>
      </c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21.75" customHeight="1">
      <c r="A589" s="20" t="s">
        <v>429</v>
      </c>
      <c r="B589" s="39">
        <v>810</v>
      </c>
      <c r="C589" s="5" t="s">
        <v>492</v>
      </c>
      <c r="D589" s="5" t="s">
        <v>809</v>
      </c>
      <c r="E589" s="5" t="s">
        <v>812</v>
      </c>
      <c r="F589" s="5" t="s">
        <v>55</v>
      </c>
      <c r="G589" s="6">
        <f>'прил.16'!G743+'прил.16'!G241</f>
        <v>6518.2</v>
      </c>
      <c r="H589" s="6">
        <f>'прил.16'!H743+'прил.16'!H241</f>
        <v>6933.8</v>
      </c>
      <c r="I589" s="6">
        <f>'прил.16'!I743+'прил.16'!I241</f>
        <v>7394.599999999999</v>
      </c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21.75" customHeight="1">
      <c r="A590" s="20" t="s">
        <v>8</v>
      </c>
      <c r="B590" s="39"/>
      <c r="C590" s="5" t="s">
        <v>492</v>
      </c>
      <c r="D590" s="5" t="s">
        <v>809</v>
      </c>
      <c r="E590" s="5" t="s">
        <v>5</v>
      </c>
      <c r="F590" s="5"/>
      <c r="G590" s="6">
        <f>G591+G593</f>
        <v>938.8</v>
      </c>
      <c r="H590" s="6">
        <f>H591+H593</f>
        <v>981.4000000000001</v>
      </c>
      <c r="I590" s="6">
        <f>I591+I593</f>
        <v>1023.6999999999999</v>
      </c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20.25" customHeight="1">
      <c r="A591" s="20" t="s">
        <v>9</v>
      </c>
      <c r="B591" s="39">
        <v>810</v>
      </c>
      <c r="C591" s="5" t="s">
        <v>492</v>
      </c>
      <c r="D591" s="5" t="s">
        <v>809</v>
      </c>
      <c r="E591" s="5" t="s">
        <v>6</v>
      </c>
      <c r="F591" s="5"/>
      <c r="G591" s="6">
        <f>G592</f>
        <v>576.8</v>
      </c>
      <c r="H591" s="6">
        <f>H592</f>
        <v>601.2</v>
      </c>
      <c r="I591" s="6">
        <f>I592</f>
        <v>625.3</v>
      </c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8.75" customHeight="1">
      <c r="A592" s="20" t="s">
        <v>736</v>
      </c>
      <c r="B592" s="39">
        <v>810</v>
      </c>
      <c r="C592" s="5" t="s">
        <v>492</v>
      </c>
      <c r="D592" s="5" t="s">
        <v>809</v>
      </c>
      <c r="E592" s="5" t="s">
        <v>6</v>
      </c>
      <c r="F592" s="5" t="s">
        <v>68</v>
      </c>
      <c r="G592" s="6">
        <f>'прил.16'!G746</f>
        <v>576.8</v>
      </c>
      <c r="H592" s="6">
        <f>'прил.16'!H746</f>
        <v>601.2</v>
      </c>
      <c r="I592" s="6">
        <f>'прил.16'!I746</f>
        <v>625.3</v>
      </c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33" customHeight="1">
      <c r="A593" s="20" t="s">
        <v>10</v>
      </c>
      <c r="B593" s="39">
        <v>810</v>
      </c>
      <c r="C593" s="5" t="s">
        <v>492</v>
      </c>
      <c r="D593" s="5" t="s">
        <v>809</v>
      </c>
      <c r="E593" s="5" t="s">
        <v>7</v>
      </c>
      <c r="F593" s="5"/>
      <c r="G593" s="6">
        <f>G594</f>
        <v>362</v>
      </c>
      <c r="H593" s="6">
        <f>H594</f>
        <v>380.2</v>
      </c>
      <c r="I593" s="6">
        <f>I594</f>
        <v>398.4</v>
      </c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16.5" customHeight="1">
      <c r="A594" s="20" t="s">
        <v>736</v>
      </c>
      <c r="B594" s="39">
        <v>810</v>
      </c>
      <c r="C594" s="5" t="s">
        <v>492</v>
      </c>
      <c r="D594" s="5" t="s">
        <v>809</v>
      </c>
      <c r="E594" s="5" t="s">
        <v>7</v>
      </c>
      <c r="F594" s="5" t="s">
        <v>68</v>
      </c>
      <c r="G594" s="6">
        <f>'прил.16'!G748</f>
        <v>362</v>
      </c>
      <c r="H594" s="6">
        <f>'прил.16'!H748</f>
        <v>380.2</v>
      </c>
      <c r="I594" s="6">
        <f>'прил.16'!I748</f>
        <v>398.4</v>
      </c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18" customHeight="1" hidden="1">
      <c r="A595" s="45" t="s">
        <v>394</v>
      </c>
      <c r="B595" s="39">
        <v>801</v>
      </c>
      <c r="C595" s="5" t="s">
        <v>492</v>
      </c>
      <c r="D595" s="5" t="s">
        <v>809</v>
      </c>
      <c r="E595" s="5" t="s">
        <v>395</v>
      </c>
      <c r="F595" s="5"/>
      <c r="G595" s="6">
        <f aca="true" t="shared" si="48" ref="G595:I596">G596</f>
        <v>400</v>
      </c>
      <c r="H595" s="6">
        <f t="shared" si="48"/>
        <v>0</v>
      </c>
      <c r="I595" s="6">
        <f t="shared" si="48"/>
        <v>0</v>
      </c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33.75" customHeight="1" hidden="1">
      <c r="A596" s="49" t="s">
        <v>740</v>
      </c>
      <c r="B596" s="39">
        <v>801</v>
      </c>
      <c r="C596" s="5" t="s">
        <v>492</v>
      </c>
      <c r="D596" s="5" t="s">
        <v>809</v>
      </c>
      <c r="E596" s="5" t="s">
        <v>396</v>
      </c>
      <c r="F596" s="5"/>
      <c r="G596" s="6">
        <f t="shared" si="48"/>
        <v>400</v>
      </c>
      <c r="H596" s="6">
        <f t="shared" si="48"/>
        <v>0</v>
      </c>
      <c r="I596" s="6">
        <f t="shared" si="48"/>
        <v>0</v>
      </c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15.75" customHeight="1" hidden="1">
      <c r="A597" s="45" t="s">
        <v>391</v>
      </c>
      <c r="B597" s="39">
        <v>801</v>
      </c>
      <c r="C597" s="5" t="s">
        <v>492</v>
      </c>
      <c r="D597" s="5" t="s">
        <v>809</v>
      </c>
      <c r="E597" s="5" t="s">
        <v>396</v>
      </c>
      <c r="F597" s="5" t="s">
        <v>1</v>
      </c>
      <c r="G597" s="6">
        <f>'прил.16'!G142</f>
        <v>400</v>
      </c>
      <c r="H597" s="6">
        <f>'прил.16'!H142</f>
        <v>0</v>
      </c>
      <c r="I597" s="6">
        <f>'прил.16'!I142</f>
        <v>0</v>
      </c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15.75" customHeight="1">
      <c r="A598" s="45" t="s">
        <v>653</v>
      </c>
      <c r="B598" s="39"/>
      <c r="C598" s="5" t="s">
        <v>492</v>
      </c>
      <c r="D598" s="5" t="s">
        <v>809</v>
      </c>
      <c r="E598" s="5" t="s">
        <v>30</v>
      </c>
      <c r="F598" s="5"/>
      <c r="G598" s="6">
        <f>G604+G606+G599</f>
        <v>651818.5</v>
      </c>
      <c r="H598" s="6">
        <f>H604+H606+H599</f>
        <v>520763.6</v>
      </c>
      <c r="I598" s="6">
        <f>I604+I606+I599</f>
        <v>520548.4</v>
      </c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15.75" customHeight="1">
      <c r="A599" s="41" t="s">
        <v>684</v>
      </c>
      <c r="B599" s="39"/>
      <c r="C599" s="5" t="s">
        <v>492</v>
      </c>
      <c r="D599" s="5" t="s">
        <v>809</v>
      </c>
      <c r="E599" s="5" t="s">
        <v>33</v>
      </c>
      <c r="F599" s="5"/>
      <c r="G599" s="6">
        <f>G600+G602</f>
        <v>5967.7</v>
      </c>
      <c r="H599" s="6">
        <f>H600+H602</f>
        <v>5673</v>
      </c>
      <c r="I599" s="6">
        <f>I600+I602</f>
        <v>5673</v>
      </c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103.5" customHeight="1">
      <c r="A600" s="41" t="s">
        <v>608</v>
      </c>
      <c r="B600" s="39"/>
      <c r="C600" s="5" t="s">
        <v>492</v>
      </c>
      <c r="D600" s="5" t="s">
        <v>809</v>
      </c>
      <c r="E600" s="5" t="s">
        <v>35</v>
      </c>
      <c r="F600" s="5"/>
      <c r="G600" s="6">
        <f>G601</f>
        <v>2474.5</v>
      </c>
      <c r="H600" s="6">
        <f>H601</f>
        <v>2354.5</v>
      </c>
      <c r="I600" s="6">
        <f>I601</f>
        <v>2354.5</v>
      </c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15.75" customHeight="1">
      <c r="A601" s="45" t="s">
        <v>567</v>
      </c>
      <c r="B601" s="39"/>
      <c r="C601" s="5" t="s">
        <v>492</v>
      </c>
      <c r="D601" s="5" t="s">
        <v>809</v>
      </c>
      <c r="E601" s="5" t="s">
        <v>35</v>
      </c>
      <c r="F601" s="5" t="s">
        <v>68</v>
      </c>
      <c r="G601" s="6">
        <f>'прил.16'!G388+'прил.16'!G752</f>
        <v>2474.5</v>
      </c>
      <c r="H601" s="6">
        <f>'прил.16'!H388+'прил.16'!H752</f>
        <v>2354.5</v>
      </c>
      <c r="I601" s="6">
        <f>'прил.16'!I388+'прил.16'!I752</f>
        <v>2354.5</v>
      </c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102.75" customHeight="1">
      <c r="A602" s="45" t="s">
        <v>640</v>
      </c>
      <c r="B602" s="39"/>
      <c r="C602" s="5" t="s">
        <v>492</v>
      </c>
      <c r="D602" s="5" t="s">
        <v>809</v>
      </c>
      <c r="E602" s="5" t="s">
        <v>482</v>
      </c>
      <c r="F602" s="5"/>
      <c r="G602" s="6">
        <f>G603</f>
        <v>3493.2</v>
      </c>
      <c r="H602" s="6">
        <f>H603</f>
        <v>3318.5</v>
      </c>
      <c r="I602" s="6">
        <f>I603</f>
        <v>3318.5</v>
      </c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15.75" customHeight="1">
      <c r="A603" s="45" t="s">
        <v>567</v>
      </c>
      <c r="B603" s="39"/>
      <c r="C603" s="5" t="s">
        <v>492</v>
      </c>
      <c r="D603" s="5" t="s">
        <v>809</v>
      </c>
      <c r="E603" s="5" t="s">
        <v>482</v>
      </c>
      <c r="F603" s="5" t="s">
        <v>68</v>
      </c>
      <c r="G603" s="6">
        <f>'прил.16'!G390</f>
        <v>3493.2</v>
      </c>
      <c r="H603" s="6">
        <f>'прил.16'!H390</f>
        <v>3318.5</v>
      </c>
      <c r="I603" s="6">
        <f>'прил.16'!I390</f>
        <v>3318.5</v>
      </c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105.75" customHeight="1">
      <c r="A604" s="45" t="s">
        <v>615</v>
      </c>
      <c r="B604" s="39"/>
      <c r="C604" s="5" t="s">
        <v>492</v>
      </c>
      <c r="D604" s="5" t="s">
        <v>809</v>
      </c>
      <c r="E604" s="5" t="s">
        <v>28</v>
      </c>
      <c r="F604" s="5"/>
      <c r="G604" s="6">
        <f>G605</f>
        <v>502950.8</v>
      </c>
      <c r="H604" s="6">
        <f>H605</f>
        <v>379247.2</v>
      </c>
      <c r="I604" s="6">
        <f>I605</f>
        <v>379032</v>
      </c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15.75" customHeight="1">
      <c r="A605" s="45" t="s">
        <v>567</v>
      </c>
      <c r="B605" s="39"/>
      <c r="C605" s="5" t="s">
        <v>492</v>
      </c>
      <c r="D605" s="5" t="s">
        <v>809</v>
      </c>
      <c r="E605" s="5" t="s">
        <v>28</v>
      </c>
      <c r="F605" s="5" t="s">
        <v>68</v>
      </c>
      <c r="G605" s="6">
        <f>'прил.16'!G754</f>
        <v>502950.8</v>
      </c>
      <c r="H605" s="6">
        <f>'прил.16'!H754</f>
        <v>379247.2</v>
      </c>
      <c r="I605" s="6">
        <f>'прил.16'!I754</f>
        <v>379032</v>
      </c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135.75" customHeight="1">
      <c r="A606" s="45" t="s">
        <v>616</v>
      </c>
      <c r="B606" s="39"/>
      <c r="C606" s="5" t="s">
        <v>492</v>
      </c>
      <c r="D606" s="5" t="s">
        <v>809</v>
      </c>
      <c r="E606" s="5" t="s">
        <v>31</v>
      </c>
      <c r="F606" s="5"/>
      <c r="G606" s="6">
        <f>G607</f>
        <v>142900</v>
      </c>
      <c r="H606" s="6">
        <f>H607</f>
        <v>135843.4</v>
      </c>
      <c r="I606" s="6">
        <f>I607</f>
        <v>135843.4</v>
      </c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15.75" customHeight="1">
      <c r="A607" s="45" t="s">
        <v>567</v>
      </c>
      <c r="B607" s="39"/>
      <c r="C607" s="5" t="s">
        <v>492</v>
      </c>
      <c r="D607" s="5" t="s">
        <v>809</v>
      </c>
      <c r="E607" s="5" t="s">
        <v>31</v>
      </c>
      <c r="F607" s="5" t="s">
        <v>68</v>
      </c>
      <c r="G607" s="6">
        <f>'прил.16'!G756</f>
        <v>142900</v>
      </c>
      <c r="H607" s="6">
        <f>'прил.16'!H756</f>
        <v>135843.4</v>
      </c>
      <c r="I607" s="6">
        <f>'прил.16'!I756</f>
        <v>135843.4</v>
      </c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17.25" customHeight="1" hidden="1">
      <c r="A608" s="45" t="s">
        <v>397</v>
      </c>
      <c r="B608" s="39">
        <v>801</v>
      </c>
      <c r="C608" s="5" t="s">
        <v>492</v>
      </c>
      <c r="D608" s="5" t="s">
        <v>809</v>
      </c>
      <c r="E608" s="5" t="s">
        <v>358</v>
      </c>
      <c r="F608" s="5"/>
      <c r="G608" s="6">
        <f aca="true" t="shared" si="49" ref="G608:I609">G609</f>
        <v>0</v>
      </c>
      <c r="H608" s="6">
        <f t="shared" si="49"/>
        <v>0</v>
      </c>
      <c r="I608" s="6">
        <f t="shared" si="49"/>
        <v>0</v>
      </c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18" customHeight="1" hidden="1">
      <c r="A609" s="45" t="s">
        <v>797</v>
      </c>
      <c r="B609" s="39">
        <v>801</v>
      </c>
      <c r="C609" s="5" t="s">
        <v>492</v>
      </c>
      <c r="D609" s="5" t="s">
        <v>809</v>
      </c>
      <c r="E609" s="5" t="s">
        <v>557</v>
      </c>
      <c r="F609" s="5"/>
      <c r="G609" s="6">
        <f t="shared" si="49"/>
        <v>0</v>
      </c>
      <c r="H609" s="6">
        <f t="shared" si="49"/>
        <v>0</v>
      </c>
      <c r="I609" s="6">
        <f t="shared" si="49"/>
        <v>0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18" customHeight="1" hidden="1">
      <c r="A610" s="45" t="s">
        <v>391</v>
      </c>
      <c r="B610" s="39">
        <v>801</v>
      </c>
      <c r="C610" s="5" t="s">
        <v>492</v>
      </c>
      <c r="D610" s="5" t="s">
        <v>809</v>
      </c>
      <c r="E610" s="5" t="s">
        <v>557</v>
      </c>
      <c r="F610" s="5" t="s">
        <v>1</v>
      </c>
      <c r="G610" s="6">
        <f>'прил.16'!G145</f>
        <v>0</v>
      </c>
      <c r="H610" s="6">
        <f>'прил.16'!H145</f>
        <v>0</v>
      </c>
      <c r="I610" s="6">
        <f>'прил.16'!I145</f>
        <v>0</v>
      </c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17.25" customHeight="1">
      <c r="A611" s="45" t="s">
        <v>741</v>
      </c>
      <c r="B611" s="39">
        <v>805</v>
      </c>
      <c r="C611" s="5" t="s">
        <v>492</v>
      </c>
      <c r="D611" s="5" t="s">
        <v>810</v>
      </c>
      <c r="E611" s="5"/>
      <c r="F611" s="5"/>
      <c r="G611" s="6">
        <f>G612</f>
        <v>79701.9</v>
      </c>
      <c r="H611" s="6">
        <f>H612</f>
        <v>75716.8</v>
      </c>
      <c r="I611" s="6">
        <f>I612</f>
        <v>75716.8</v>
      </c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18.75" customHeight="1">
      <c r="A612" s="20" t="s">
        <v>722</v>
      </c>
      <c r="B612" s="39">
        <v>805</v>
      </c>
      <c r="C612" s="5" t="s">
        <v>492</v>
      </c>
      <c r="D612" s="5" t="s">
        <v>810</v>
      </c>
      <c r="E612" s="5" t="s">
        <v>461</v>
      </c>
      <c r="F612" s="5"/>
      <c r="G612" s="6">
        <f>G613+G615</f>
        <v>79701.9</v>
      </c>
      <c r="H612" s="6">
        <f>H613+H615</f>
        <v>75716.8</v>
      </c>
      <c r="I612" s="6">
        <f>I613+I615</f>
        <v>75716.8</v>
      </c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69.75" customHeight="1">
      <c r="A613" s="50" t="s">
        <v>336</v>
      </c>
      <c r="B613" s="39">
        <v>805</v>
      </c>
      <c r="C613" s="5" t="s">
        <v>492</v>
      </c>
      <c r="D613" s="5" t="s">
        <v>810</v>
      </c>
      <c r="E613" s="5" t="s">
        <v>303</v>
      </c>
      <c r="F613" s="5"/>
      <c r="G613" s="6">
        <f>G614</f>
        <v>43799.9</v>
      </c>
      <c r="H613" s="6">
        <f>H614</f>
        <v>41609.9</v>
      </c>
      <c r="I613" s="6">
        <f>I614</f>
        <v>41609.9</v>
      </c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8" customHeight="1">
      <c r="A614" s="85" t="s">
        <v>567</v>
      </c>
      <c r="B614" s="39">
        <v>805</v>
      </c>
      <c r="C614" s="5" t="s">
        <v>492</v>
      </c>
      <c r="D614" s="5" t="s">
        <v>810</v>
      </c>
      <c r="E614" s="5" t="s">
        <v>303</v>
      </c>
      <c r="F614" s="5" t="s">
        <v>68</v>
      </c>
      <c r="G614" s="6">
        <f>'прил.16'!G394</f>
        <v>43799.9</v>
      </c>
      <c r="H614" s="6">
        <f>'прил.16'!H394</f>
        <v>41609.9</v>
      </c>
      <c r="I614" s="6">
        <f>'прил.16'!I394</f>
        <v>41609.9</v>
      </c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s="25" customFormat="1" ht="39.75" customHeight="1">
      <c r="A615" s="85" t="s">
        <v>337</v>
      </c>
      <c r="B615" s="39"/>
      <c r="C615" s="5" t="s">
        <v>492</v>
      </c>
      <c r="D615" s="5" t="s">
        <v>810</v>
      </c>
      <c r="E615" s="5" t="s">
        <v>173</v>
      </c>
      <c r="F615" s="5"/>
      <c r="G615" s="6">
        <f>G616</f>
        <v>35902</v>
      </c>
      <c r="H615" s="6">
        <f>H616</f>
        <v>34106.9</v>
      </c>
      <c r="I615" s="6">
        <f>I616</f>
        <v>34106.9</v>
      </c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s="26" customFormat="1" ht="18" customHeight="1">
      <c r="A616" s="45" t="s">
        <v>567</v>
      </c>
      <c r="B616" s="39"/>
      <c r="C616" s="5" t="s">
        <v>492</v>
      </c>
      <c r="D616" s="5" t="s">
        <v>810</v>
      </c>
      <c r="E616" s="5" t="s">
        <v>173</v>
      </c>
      <c r="F616" s="5" t="s">
        <v>68</v>
      </c>
      <c r="G616" s="6">
        <f>'прил.16'!G396</f>
        <v>35902</v>
      </c>
      <c r="H616" s="6">
        <f>'прил.16'!H396</f>
        <v>34106.9</v>
      </c>
      <c r="I616" s="6">
        <f>'прил.16'!I396</f>
        <v>34106.9</v>
      </c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9.5" customHeight="1">
      <c r="A617" s="45" t="s">
        <v>742</v>
      </c>
      <c r="B617" s="39">
        <v>810</v>
      </c>
      <c r="C617" s="5" t="s">
        <v>492</v>
      </c>
      <c r="D617" s="5" t="s">
        <v>811</v>
      </c>
      <c r="E617" s="5"/>
      <c r="F617" s="5"/>
      <c r="G617" s="6">
        <f>G618+G621+G624+G633+G636+G630</f>
        <v>29213.3</v>
      </c>
      <c r="H617" s="6">
        <f>H618+H621+H624+H633+H636+H630</f>
        <v>23971.999999999996</v>
      </c>
      <c r="I617" s="6">
        <f>I618+I621+I624+I633+I636+I630</f>
        <v>24832.399999999998</v>
      </c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37.5" customHeight="1">
      <c r="A618" s="41" t="s">
        <v>42</v>
      </c>
      <c r="B618" s="39">
        <v>810</v>
      </c>
      <c r="C618" s="5" t="s">
        <v>492</v>
      </c>
      <c r="D618" s="5" t="s">
        <v>811</v>
      </c>
      <c r="E618" s="5" t="s">
        <v>43</v>
      </c>
      <c r="F618" s="5"/>
      <c r="G618" s="6">
        <f aca="true" t="shared" si="50" ref="G618:I619">G619</f>
        <v>24520.8</v>
      </c>
      <c r="H618" s="6">
        <f t="shared" si="50"/>
        <v>20784.399999999998</v>
      </c>
      <c r="I618" s="6">
        <f t="shared" si="50"/>
        <v>20845.899999999998</v>
      </c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8" customHeight="1">
      <c r="A619" s="41" t="s">
        <v>589</v>
      </c>
      <c r="B619" s="39">
        <v>810</v>
      </c>
      <c r="C619" s="5" t="s">
        <v>492</v>
      </c>
      <c r="D619" s="5" t="s">
        <v>811</v>
      </c>
      <c r="E619" s="5" t="s">
        <v>45</v>
      </c>
      <c r="F619" s="5"/>
      <c r="G619" s="6">
        <f t="shared" si="50"/>
        <v>24520.8</v>
      </c>
      <c r="H619" s="6">
        <f t="shared" si="50"/>
        <v>20784.399999999998</v>
      </c>
      <c r="I619" s="6">
        <f t="shared" si="50"/>
        <v>20845.899999999998</v>
      </c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9.5" customHeight="1">
      <c r="A620" s="41" t="s">
        <v>361</v>
      </c>
      <c r="B620" s="39">
        <v>810</v>
      </c>
      <c r="C620" s="5" t="s">
        <v>492</v>
      </c>
      <c r="D620" s="5" t="s">
        <v>811</v>
      </c>
      <c r="E620" s="5" t="s">
        <v>45</v>
      </c>
      <c r="F620" s="5" t="s">
        <v>214</v>
      </c>
      <c r="G620" s="6">
        <f>'прил.16'!G760</f>
        <v>24520.8</v>
      </c>
      <c r="H620" s="6">
        <f>'прил.16'!H760</f>
        <v>20784.399999999998</v>
      </c>
      <c r="I620" s="6">
        <f>'прил.16'!I760</f>
        <v>20845.899999999998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50.25" customHeight="1">
      <c r="A621" s="41" t="s">
        <v>700</v>
      </c>
      <c r="B621" s="39">
        <v>810</v>
      </c>
      <c r="C621" s="5" t="s">
        <v>492</v>
      </c>
      <c r="D621" s="5" t="s">
        <v>811</v>
      </c>
      <c r="E621" s="5" t="s">
        <v>555</v>
      </c>
      <c r="F621" s="5"/>
      <c r="G621" s="6">
        <f aca="true" t="shared" si="51" ref="G621:I622">G622</f>
        <v>862.3</v>
      </c>
      <c r="H621" s="6">
        <f t="shared" si="51"/>
        <v>871.8</v>
      </c>
      <c r="I621" s="6">
        <f t="shared" si="51"/>
        <v>881.9</v>
      </c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18" customHeight="1">
      <c r="A622" s="45" t="s">
        <v>566</v>
      </c>
      <c r="B622" s="39">
        <v>810</v>
      </c>
      <c r="C622" s="5" t="s">
        <v>492</v>
      </c>
      <c r="D622" s="5" t="s">
        <v>811</v>
      </c>
      <c r="E622" s="5" t="s">
        <v>556</v>
      </c>
      <c r="F622" s="5"/>
      <c r="G622" s="6">
        <f t="shared" si="51"/>
        <v>862.3</v>
      </c>
      <c r="H622" s="6">
        <f t="shared" si="51"/>
        <v>871.8</v>
      </c>
      <c r="I622" s="6">
        <f t="shared" si="51"/>
        <v>881.9</v>
      </c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6.5">
      <c r="A623" s="41" t="s">
        <v>13</v>
      </c>
      <c r="B623" s="39">
        <v>810</v>
      </c>
      <c r="C623" s="5" t="s">
        <v>492</v>
      </c>
      <c r="D623" s="5" t="s">
        <v>811</v>
      </c>
      <c r="E623" s="5" t="s">
        <v>556</v>
      </c>
      <c r="F623" s="5" t="s">
        <v>572</v>
      </c>
      <c r="G623" s="6">
        <f>'прил.16'!G763</f>
        <v>862.3</v>
      </c>
      <c r="H623" s="6">
        <f>'прил.16'!H763</f>
        <v>871.8</v>
      </c>
      <c r="I623" s="6">
        <f>'прил.16'!I763</f>
        <v>881.9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8" customHeight="1" hidden="1">
      <c r="A624" s="45" t="s">
        <v>97</v>
      </c>
      <c r="B624" s="39">
        <v>810</v>
      </c>
      <c r="C624" s="5" t="s">
        <v>492</v>
      </c>
      <c r="D624" s="5" t="s">
        <v>811</v>
      </c>
      <c r="E624" s="5" t="s">
        <v>392</v>
      </c>
      <c r="F624" s="5"/>
      <c r="G624" s="6">
        <f>G625+G627</f>
        <v>0</v>
      </c>
      <c r="H624" s="6">
        <f>H625+H627</f>
        <v>0</v>
      </c>
      <c r="I624" s="6">
        <f>I625+I627</f>
        <v>0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35.25" customHeight="1" hidden="1">
      <c r="A625" s="20" t="s">
        <v>228</v>
      </c>
      <c r="B625" s="39"/>
      <c r="C625" s="5" t="s">
        <v>492</v>
      </c>
      <c r="D625" s="5" t="s">
        <v>811</v>
      </c>
      <c r="E625" s="5" t="s">
        <v>98</v>
      </c>
      <c r="F625" s="5"/>
      <c r="G625" s="6">
        <f>G626</f>
        <v>0</v>
      </c>
      <c r="H625" s="6">
        <f>H626</f>
        <v>0</v>
      </c>
      <c r="I625" s="6">
        <f>I626</f>
        <v>0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8" customHeight="1" hidden="1">
      <c r="A626" s="41" t="s">
        <v>377</v>
      </c>
      <c r="B626" s="39"/>
      <c r="C626" s="5" t="s">
        <v>492</v>
      </c>
      <c r="D626" s="5" t="s">
        <v>811</v>
      </c>
      <c r="E626" s="5" t="s">
        <v>98</v>
      </c>
      <c r="F626" s="5" t="s">
        <v>212</v>
      </c>
      <c r="G626" s="6">
        <f>'прил.16'!G766</f>
        <v>0</v>
      </c>
      <c r="H626" s="6">
        <f>'прил.16'!H766</f>
        <v>0</v>
      </c>
      <c r="I626" s="6">
        <f>'прил.16'!I766</f>
        <v>0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33" customHeight="1" hidden="1">
      <c r="A627" s="20" t="s">
        <v>117</v>
      </c>
      <c r="B627" s="39">
        <v>810</v>
      </c>
      <c r="C627" s="5" t="s">
        <v>492</v>
      </c>
      <c r="D627" s="5" t="s">
        <v>811</v>
      </c>
      <c r="E627" s="5" t="s">
        <v>294</v>
      </c>
      <c r="F627" s="5"/>
      <c r="G627" s="6">
        <f>SUM(G628:G629)</f>
        <v>0</v>
      </c>
      <c r="H627" s="6">
        <f>SUM(H628:H629)</f>
        <v>0</v>
      </c>
      <c r="I627" s="6">
        <f>SUM(I628:I629)</f>
        <v>0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18" customHeight="1" hidden="1">
      <c r="A628" s="41" t="s">
        <v>13</v>
      </c>
      <c r="B628" s="39"/>
      <c r="C628" s="5" t="s">
        <v>492</v>
      </c>
      <c r="D628" s="5" t="s">
        <v>811</v>
      </c>
      <c r="E628" s="5" t="s">
        <v>294</v>
      </c>
      <c r="F628" s="5" t="s">
        <v>572</v>
      </c>
      <c r="G628" s="6">
        <f>'прил.16'!G769</f>
        <v>0</v>
      </c>
      <c r="H628" s="6">
        <f>'прил.16'!H769</f>
        <v>0</v>
      </c>
      <c r="I628" s="6">
        <f>'прил.16'!I769</f>
        <v>0</v>
      </c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20.25" customHeight="1" hidden="1">
      <c r="A629" s="41" t="s">
        <v>377</v>
      </c>
      <c r="B629" s="39">
        <v>810</v>
      </c>
      <c r="C629" s="5" t="s">
        <v>492</v>
      </c>
      <c r="D629" s="5" t="s">
        <v>811</v>
      </c>
      <c r="E629" s="5" t="s">
        <v>294</v>
      </c>
      <c r="F629" s="5" t="s">
        <v>212</v>
      </c>
      <c r="G629" s="6">
        <f>'прил.16'!G770</f>
        <v>0</v>
      </c>
      <c r="H629" s="6">
        <f>'прил.16'!H770</f>
        <v>0</v>
      </c>
      <c r="I629" s="6">
        <f>'прил.16'!I770</f>
        <v>0</v>
      </c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21" customHeight="1">
      <c r="A630" s="42" t="s">
        <v>394</v>
      </c>
      <c r="B630" s="39"/>
      <c r="C630" s="5" t="s">
        <v>492</v>
      </c>
      <c r="D630" s="5" t="s">
        <v>811</v>
      </c>
      <c r="E630" s="5" t="s">
        <v>395</v>
      </c>
      <c r="F630" s="5"/>
      <c r="G630" s="6">
        <f aca="true" t="shared" si="52" ref="G630:I631">G631</f>
        <v>200</v>
      </c>
      <c r="H630" s="6">
        <f t="shared" si="52"/>
        <v>0</v>
      </c>
      <c r="I630" s="6">
        <f t="shared" si="52"/>
        <v>550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34.5" customHeight="1">
      <c r="A631" s="42" t="s">
        <v>702</v>
      </c>
      <c r="B631" s="39"/>
      <c r="C631" s="5" t="s">
        <v>492</v>
      </c>
      <c r="D631" s="5" t="s">
        <v>811</v>
      </c>
      <c r="E631" s="5" t="s">
        <v>452</v>
      </c>
      <c r="F631" s="5"/>
      <c r="G631" s="6">
        <f t="shared" si="52"/>
        <v>200</v>
      </c>
      <c r="H631" s="6">
        <f t="shared" si="52"/>
        <v>0</v>
      </c>
      <c r="I631" s="6">
        <f t="shared" si="52"/>
        <v>550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21" customHeight="1">
      <c r="A632" s="42" t="s">
        <v>524</v>
      </c>
      <c r="B632" s="39"/>
      <c r="C632" s="5" t="s">
        <v>492</v>
      </c>
      <c r="D632" s="5" t="s">
        <v>811</v>
      </c>
      <c r="E632" s="5" t="s">
        <v>452</v>
      </c>
      <c r="F632" s="5" t="s">
        <v>55</v>
      </c>
      <c r="G632" s="6">
        <f>'прил.16'!G245</f>
        <v>200</v>
      </c>
      <c r="H632" s="6">
        <f>'прил.16'!H245</f>
        <v>0</v>
      </c>
      <c r="I632" s="6">
        <f>'прил.16'!I245</f>
        <v>550</v>
      </c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21" customHeight="1">
      <c r="A633" s="45" t="s">
        <v>653</v>
      </c>
      <c r="B633" s="39"/>
      <c r="C633" s="5" t="s">
        <v>492</v>
      </c>
      <c r="D633" s="5" t="s">
        <v>811</v>
      </c>
      <c r="E633" s="5" t="s">
        <v>30</v>
      </c>
      <c r="F633" s="5"/>
      <c r="G633" s="6">
        <f aca="true" t="shared" si="53" ref="G633:I634">G634</f>
        <v>1300.2</v>
      </c>
      <c r="H633" s="6">
        <f t="shared" si="53"/>
        <v>1234.6</v>
      </c>
      <c r="I633" s="6">
        <f t="shared" si="53"/>
        <v>1234.6</v>
      </c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36" customHeight="1">
      <c r="A634" s="42" t="s">
        <v>618</v>
      </c>
      <c r="B634" s="39"/>
      <c r="C634" s="5" t="s">
        <v>492</v>
      </c>
      <c r="D634" s="5" t="s">
        <v>811</v>
      </c>
      <c r="E634" s="5" t="s">
        <v>352</v>
      </c>
      <c r="F634" s="5"/>
      <c r="G634" s="6">
        <f t="shared" si="53"/>
        <v>1300.2</v>
      </c>
      <c r="H634" s="6">
        <f t="shared" si="53"/>
        <v>1234.6</v>
      </c>
      <c r="I634" s="6">
        <f t="shared" si="53"/>
        <v>1234.6</v>
      </c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21" customHeight="1">
      <c r="A635" s="41" t="s">
        <v>377</v>
      </c>
      <c r="B635" s="39"/>
      <c r="C635" s="5" t="s">
        <v>492</v>
      </c>
      <c r="D635" s="5" t="s">
        <v>811</v>
      </c>
      <c r="E635" s="5" t="s">
        <v>352</v>
      </c>
      <c r="F635" s="5" t="s">
        <v>212</v>
      </c>
      <c r="G635" s="6">
        <f>'прил.16'!G773</f>
        <v>1300.2</v>
      </c>
      <c r="H635" s="6">
        <f>'прил.16'!H773</f>
        <v>1234.6</v>
      </c>
      <c r="I635" s="6">
        <f>'прил.16'!I773</f>
        <v>1234.6</v>
      </c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9.5" customHeight="1">
      <c r="A636" s="45" t="s">
        <v>364</v>
      </c>
      <c r="B636" s="39">
        <v>810</v>
      </c>
      <c r="C636" s="5" t="s">
        <v>492</v>
      </c>
      <c r="D636" s="5" t="s">
        <v>811</v>
      </c>
      <c r="E636" s="43" t="s">
        <v>358</v>
      </c>
      <c r="F636" s="43"/>
      <c r="G636" s="6">
        <f>G638+G640</f>
        <v>2330</v>
      </c>
      <c r="H636" s="6">
        <f>H638+H640</f>
        <v>1081.2</v>
      </c>
      <c r="I636" s="6">
        <f>I638+I640</f>
        <v>1320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9.5" customHeight="1">
      <c r="A637" s="45" t="s">
        <v>394</v>
      </c>
      <c r="B637" s="39"/>
      <c r="C637" s="5" t="s">
        <v>492</v>
      </c>
      <c r="D637" s="5" t="s">
        <v>811</v>
      </c>
      <c r="E637" s="5" t="s">
        <v>359</v>
      </c>
      <c r="F637" s="43"/>
      <c r="G637" s="6">
        <f>G639+G642</f>
        <v>1338</v>
      </c>
      <c r="H637" s="6">
        <f>H639+H642</f>
        <v>101.2</v>
      </c>
      <c r="I637" s="6">
        <f>I639+I642</f>
        <v>320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7.25" customHeight="1">
      <c r="A638" s="45" t="s">
        <v>743</v>
      </c>
      <c r="B638" s="39">
        <v>810</v>
      </c>
      <c r="C638" s="5" t="s">
        <v>492</v>
      </c>
      <c r="D638" s="5" t="s">
        <v>811</v>
      </c>
      <c r="E638" s="5" t="s">
        <v>369</v>
      </c>
      <c r="F638" s="5"/>
      <c r="G638" s="6">
        <f>G639</f>
        <v>300</v>
      </c>
      <c r="H638" s="6">
        <f>H639</f>
        <v>0</v>
      </c>
      <c r="I638" s="6">
        <f>I639</f>
        <v>320</v>
      </c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8.75" customHeight="1">
      <c r="A639" s="41" t="s">
        <v>524</v>
      </c>
      <c r="B639" s="39">
        <v>810</v>
      </c>
      <c r="C639" s="5" t="s">
        <v>492</v>
      </c>
      <c r="D639" s="5" t="s">
        <v>811</v>
      </c>
      <c r="E639" s="5" t="s">
        <v>369</v>
      </c>
      <c r="F639" s="5" t="s">
        <v>55</v>
      </c>
      <c r="G639" s="6">
        <f>'прил.16'!G777</f>
        <v>300</v>
      </c>
      <c r="H639" s="6">
        <f>'прил.16'!H777</f>
        <v>0</v>
      </c>
      <c r="I639" s="6">
        <f>'прил.16'!I777</f>
        <v>320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8.75" customHeight="1">
      <c r="A640" s="42" t="s">
        <v>744</v>
      </c>
      <c r="B640" s="39"/>
      <c r="C640" s="5" t="s">
        <v>492</v>
      </c>
      <c r="D640" s="5" t="s">
        <v>811</v>
      </c>
      <c r="E640" s="5" t="s">
        <v>368</v>
      </c>
      <c r="F640" s="5"/>
      <c r="G640" s="6">
        <f>G641+G642</f>
        <v>2030</v>
      </c>
      <c r="H640" s="6">
        <f>H641+H642</f>
        <v>1081.2</v>
      </c>
      <c r="I640" s="6">
        <f>I641+I642</f>
        <v>1000</v>
      </c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8.75" customHeight="1">
      <c r="A641" s="20" t="s">
        <v>784</v>
      </c>
      <c r="B641" s="39"/>
      <c r="C641" s="5" t="s">
        <v>492</v>
      </c>
      <c r="D641" s="5" t="s">
        <v>811</v>
      </c>
      <c r="E641" s="5" t="s">
        <v>368</v>
      </c>
      <c r="F641" s="5" t="s">
        <v>257</v>
      </c>
      <c r="G641" s="6">
        <f>'прил.16'!G671</f>
        <v>992</v>
      </c>
      <c r="H641" s="6">
        <f>'прил.16'!H671</f>
        <v>980</v>
      </c>
      <c r="I641" s="6">
        <f>'прил.16'!I671</f>
        <v>1000</v>
      </c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8.75" customHeight="1">
      <c r="A642" s="41" t="s">
        <v>429</v>
      </c>
      <c r="B642" s="39"/>
      <c r="C642" s="5" t="s">
        <v>492</v>
      </c>
      <c r="D642" s="5" t="s">
        <v>811</v>
      </c>
      <c r="E642" s="5" t="s">
        <v>368</v>
      </c>
      <c r="F642" s="5" t="s">
        <v>55</v>
      </c>
      <c r="G642" s="6">
        <f>'прил.16'!G401+'прил.16'!G632+'прил.16'!G249</f>
        <v>1038</v>
      </c>
      <c r="H642" s="6">
        <f>'прил.16'!H401+'прил.16'!H632+'прил.16'!H249</f>
        <v>101.2</v>
      </c>
      <c r="I642" s="6">
        <f>'прил.16'!I401+'прил.16'!I632+'прил.16'!I249</f>
        <v>0</v>
      </c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8.75" customHeight="1">
      <c r="A643" s="20" t="s">
        <v>511</v>
      </c>
      <c r="B643" s="58">
        <v>809</v>
      </c>
      <c r="C643" s="43" t="s">
        <v>62</v>
      </c>
      <c r="D643" s="43"/>
      <c r="E643" s="43"/>
      <c r="F643" s="43"/>
      <c r="G643" s="6">
        <f>G644+G662+G654+G657</f>
        <v>286181.5</v>
      </c>
      <c r="H643" s="6">
        <f>H644+H662+H654+H657</f>
        <v>277429.80000000005</v>
      </c>
      <c r="I643" s="6">
        <f>I644+I662+I654+I657</f>
        <v>283773</v>
      </c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8.75" customHeight="1">
      <c r="A644" s="45" t="s">
        <v>745</v>
      </c>
      <c r="B644" s="58"/>
      <c r="C644" s="43" t="s">
        <v>62</v>
      </c>
      <c r="D644" s="43" t="s">
        <v>807</v>
      </c>
      <c r="E644" s="43"/>
      <c r="F644" s="43"/>
      <c r="G644" s="6">
        <f>G645</f>
        <v>178616.2</v>
      </c>
      <c r="H644" s="6">
        <f>H645</f>
        <v>171434.1</v>
      </c>
      <c r="I644" s="6">
        <f>I645</f>
        <v>177769.5</v>
      </c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18.75" customHeight="1">
      <c r="A645" s="45" t="s">
        <v>746</v>
      </c>
      <c r="B645" s="58">
        <v>809</v>
      </c>
      <c r="C645" s="43" t="s">
        <v>62</v>
      </c>
      <c r="D645" s="43" t="s">
        <v>807</v>
      </c>
      <c r="E645" s="43" t="s">
        <v>183</v>
      </c>
      <c r="F645" s="43"/>
      <c r="G645" s="6">
        <f>G646+G648</f>
        <v>178616.2</v>
      </c>
      <c r="H645" s="6">
        <f>H646+H648</f>
        <v>171434.1</v>
      </c>
      <c r="I645" s="6">
        <f>I646+I648</f>
        <v>177769.5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18.75" customHeight="1">
      <c r="A646" s="41" t="s">
        <v>747</v>
      </c>
      <c r="B646" s="58">
        <v>809</v>
      </c>
      <c r="C646" s="43" t="s">
        <v>62</v>
      </c>
      <c r="D646" s="43" t="s">
        <v>807</v>
      </c>
      <c r="E646" s="43" t="s">
        <v>184</v>
      </c>
      <c r="F646" s="43"/>
      <c r="G646" s="6">
        <f>G647</f>
        <v>164698</v>
      </c>
      <c r="H646" s="6">
        <f>H647</f>
        <v>169868.2</v>
      </c>
      <c r="I646" s="6">
        <f>I647</f>
        <v>175589.9</v>
      </c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18.75" customHeight="1">
      <c r="A647" s="41" t="s">
        <v>159</v>
      </c>
      <c r="B647" s="58">
        <v>809</v>
      </c>
      <c r="C647" s="43" t="s">
        <v>62</v>
      </c>
      <c r="D647" s="43" t="s">
        <v>807</v>
      </c>
      <c r="E647" s="43" t="s">
        <v>184</v>
      </c>
      <c r="F647" s="43" t="s">
        <v>572</v>
      </c>
      <c r="G647" s="6">
        <f>'прил.16'!G676</f>
        <v>164698</v>
      </c>
      <c r="H647" s="6">
        <f>'прил.16'!H676</f>
        <v>169868.2</v>
      </c>
      <c r="I647" s="6">
        <f>'прил.16'!I676</f>
        <v>175589.9</v>
      </c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18.75" customHeight="1">
      <c r="A648" s="45" t="s">
        <v>748</v>
      </c>
      <c r="B648" s="58">
        <v>809</v>
      </c>
      <c r="C648" s="43" t="s">
        <v>62</v>
      </c>
      <c r="D648" s="43" t="s">
        <v>807</v>
      </c>
      <c r="E648" s="43" t="s">
        <v>358</v>
      </c>
      <c r="F648" s="43"/>
      <c r="G648" s="6">
        <f>G649+G651</f>
        <v>13918.199999999999</v>
      </c>
      <c r="H648" s="6">
        <f>H649+H651</f>
        <v>1565.9</v>
      </c>
      <c r="I648" s="6">
        <f>I649+I651</f>
        <v>2179.6</v>
      </c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18.75" customHeight="1">
      <c r="A649" s="45" t="s">
        <v>216</v>
      </c>
      <c r="B649" s="39">
        <v>809</v>
      </c>
      <c r="C649" s="5" t="s">
        <v>62</v>
      </c>
      <c r="D649" s="5" t="s">
        <v>807</v>
      </c>
      <c r="E649" s="5" t="s">
        <v>369</v>
      </c>
      <c r="F649" s="5"/>
      <c r="G649" s="6">
        <f>G650</f>
        <v>1045.3</v>
      </c>
      <c r="H649" s="6">
        <f>H650</f>
        <v>1565.9</v>
      </c>
      <c r="I649" s="6">
        <f>I650</f>
        <v>2179.6</v>
      </c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18.75" customHeight="1">
      <c r="A650" s="41" t="s">
        <v>749</v>
      </c>
      <c r="B650" s="39">
        <v>809</v>
      </c>
      <c r="C650" s="5" t="s">
        <v>62</v>
      </c>
      <c r="D650" s="5" t="s">
        <v>807</v>
      </c>
      <c r="E650" s="5" t="s">
        <v>369</v>
      </c>
      <c r="F650" s="5" t="s">
        <v>277</v>
      </c>
      <c r="G650" s="6">
        <f>'прил.16'!G684</f>
        <v>1045.3</v>
      </c>
      <c r="H650" s="6">
        <f>'прил.16'!H684</f>
        <v>1565.9</v>
      </c>
      <c r="I650" s="6">
        <f>'прил.16'!I684</f>
        <v>2179.6</v>
      </c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18.75" customHeight="1" hidden="1">
      <c r="A651" s="45" t="s">
        <v>750</v>
      </c>
      <c r="B651" s="39">
        <v>809</v>
      </c>
      <c r="C651" s="5" t="s">
        <v>62</v>
      </c>
      <c r="D651" s="5" t="s">
        <v>807</v>
      </c>
      <c r="E651" s="5" t="s">
        <v>363</v>
      </c>
      <c r="F651" s="5"/>
      <c r="G651" s="6">
        <f>SUM(G652:G653)</f>
        <v>12872.9</v>
      </c>
      <c r="H651" s="6">
        <f>SUM(H652:H653)</f>
        <v>0</v>
      </c>
      <c r="I651" s="6">
        <f>SUM(I652:I653)</f>
        <v>0</v>
      </c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18.75" customHeight="1" hidden="1">
      <c r="A652" s="20" t="s">
        <v>784</v>
      </c>
      <c r="B652" s="39"/>
      <c r="C652" s="5" t="s">
        <v>62</v>
      </c>
      <c r="D652" s="5" t="s">
        <v>807</v>
      </c>
      <c r="E652" s="5" t="s">
        <v>363</v>
      </c>
      <c r="F652" s="5" t="s">
        <v>257</v>
      </c>
      <c r="G652" s="6">
        <f>'прил.16'!G686</f>
        <v>5500</v>
      </c>
      <c r="H652" s="6">
        <f>'прил.16'!H686</f>
        <v>0</v>
      </c>
      <c r="I652" s="6">
        <f>'прил.16'!I686</f>
        <v>0</v>
      </c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18.75" customHeight="1" hidden="1">
      <c r="A653" s="41" t="s">
        <v>621</v>
      </c>
      <c r="B653" s="39">
        <v>809</v>
      </c>
      <c r="C653" s="5" t="s">
        <v>62</v>
      </c>
      <c r="D653" s="5" t="s">
        <v>807</v>
      </c>
      <c r="E653" s="5" t="s">
        <v>363</v>
      </c>
      <c r="F653" s="5" t="s">
        <v>277</v>
      </c>
      <c r="G653" s="6">
        <f>'прил.16'!G687</f>
        <v>7372.9</v>
      </c>
      <c r="H653" s="6">
        <f>'прил.16'!H687</f>
        <v>0</v>
      </c>
      <c r="I653" s="6">
        <f>'прил.16'!I687</f>
        <v>0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18.75" customHeight="1" hidden="1">
      <c r="A654" s="20" t="s">
        <v>751</v>
      </c>
      <c r="B654" s="39"/>
      <c r="C654" s="5" t="s">
        <v>62</v>
      </c>
      <c r="D654" s="5" t="s">
        <v>808</v>
      </c>
      <c r="E654" s="5"/>
      <c r="F654" s="5"/>
      <c r="G654" s="6">
        <f aca="true" t="shared" si="54" ref="G654:I655">G655</f>
        <v>820</v>
      </c>
      <c r="H654" s="6">
        <f t="shared" si="54"/>
        <v>0</v>
      </c>
      <c r="I654" s="6">
        <f t="shared" si="54"/>
        <v>0</v>
      </c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8.75" customHeight="1" hidden="1">
      <c r="A655" s="41" t="s">
        <v>747</v>
      </c>
      <c r="B655" s="39"/>
      <c r="C655" s="5" t="s">
        <v>62</v>
      </c>
      <c r="D655" s="5" t="s">
        <v>808</v>
      </c>
      <c r="E655" s="43" t="s">
        <v>184</v>
      </c>
      <c r="F655" s="5"/>
      <c r="G655" s="6">
        <f t="shared" si="54"/>
        <v>820</v>
      </c>
      <c r="H655" s="6">
        <f t="shared" si="54"/>
        <v>0</v>
      </c>
      <c r="I655" s="6">
        <f t="shared" si="54"/>
        <v>0</v>
      </c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18.75" customHeight="1" hidden="1">
      <c r="A656" s="41" t="s">
        <v>621</v>
      </c>
      <c r="B656" s="39"/>
      <c r="C656" s="5" t="s">
        <v>62</v>
      </c>
      <c r="D656" s="5" t="s">
        <v>808</v>
      </c>
      <c r="E656" s="43" t="s">
        <v>184</v>
      </c>
      <c r="F656" s="5" t="s">
        <v>277</v>
      </c>
      <c r="G656" s="6">
        <f>'прил.16'!G690</f>
        <v>820</v>
      </c>
      <c r="H656" s="6">
        <f>'прил.16'!H690</f>
        <v>0</v>
      </c>
      <c r="I656" s="6">
        <f>'прил.16'!I690</f>
        <v>0</v>
      </c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8.75" customHeight="1">
      <c r="A657" s="20" t="s">
        <v>752</v>
      </c>
      <c r="B657" s="39"/>
      <c r="C657" s="5" t="s">
        <v>62</v>
      </c>
      <c r="D657" s="5" t="s">
        <v>809</v>
      </c>
      <c r="E657" s="43"/>
      <c r="F657" s="5"/>
      <c r="G657" s="6">
        <f>G660</f>
        <v>100000</v>
      </c>
      <c r="H657" s="6">
        <f>H660</f>
        <v>100000</v>
      </c>
      <c r="I657" s="6">
        <f>I660</f>
        <v>100000</v>
      </c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8.75" customHeight="1">
      <c r="A658" s="20" t="s">
        <v>753</v>
      </c>
      <c r="B658" s="39"/>
      <c r="C658" s="5" t="s">
        <v>62</v>
      </c>
      <c r="D658" s="5" t="s">
        <v>809</v>
      </c>
      <c r="E658" s="43" t="s">
        <v>343</v>
      </c>
      <c r="F658" s="5"/>
      <c r="G658" s="6">
        <f aca="true" t="shared" si="55" ref="G658:I660">G659</f>
        <v>100000</v>
      </c>
      <c r="H658" s="6">
        <f t="shared" si="55"/>
        <v>100000</v>
      </c>
      <c r="I658" s="6">
        <f t="shared" si="55"/>
        <v>100000</v>
      </c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18.75" customHeight="1">
      <c r="A659" s="20" t="s">
        <v>754</v>
      </c>
      <c r="B659" s="39"/>
      <c r="C659" s="5" t="s">
        <v>62</v>
      </c>
      <c r="D659" s="5" t="s">
        <v>809</v>
      </c>
      <c r="E659" s="43" t="s">
        <v>447</v>
      </c>
      <c r="F659" s="5"/>
      <c r="G659" s="6">
        <f t="shared" si="55"/>
        <v>100000</v>
      </c>
      <c r="H659" s="6">
        <f t="shared" si="55"/>
        <v>100000</v>
      </c>
      <c r="I659" s="6">
        <f t="shared" si="55"/>
        <v>100000</v>
      </c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18.75" customHeight="1">
      <c r="A660" s="42" t="s">
        <v>755</v>
      </c>
      <c r="B660" s="39"/>
      <c r="C660" s="5" t="s">
        <v>62</v>
      </c>
      <c r="D660" s="5" t="s">
        <v>809</v>
      </c>
      <c r="E660" s="43" t="s">
        <v>448</v>
      </c>
      <c r="F660" s="5"/>
      <c r="G660" s="6">
        <f t="shared" si="55"/>
        <v>100000</v>
      </c>
      <c r="H660" s="6">
        <f t="shared" si="55"/>
        <v>100000</v>
      </c>
      <c r="I660" s="6">
        <f t="shared" si="55"/>
        <v>100000</v>
      </c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18.75" customHeight="1">
      <c r="A661" s="20" t="s">
        <v>784</v>
      </c>
      <c r="B661" s="39"/>
      <c r="C661" s="5" t="s">
        <v>62</v>
      </c>
      <c r="D661" s="5" t="s">
        <v>809</v>
      </c>
      <c r="E661" s="43" t="s">
        <v>448</v>
      </c>
      <c r="F661" s="5" t="s">
        <v>257</v>
      </c>
      <c r="G661" s="6">
        <f>'прил.16'!G695</f>
        <v>100000</v>
      </c>
      <c r="H661" s="6">
        <f>'прил.16'!H695</f>
        <v>100000</v>
      </c>
      <c r="I661" s="6">
        <f>'прил.16'!I695</f>
        <v>100000</v>
      </c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18.75" customHeight="1">
      <c r="A662" s="41" t="s">
        <v>756</v>
      </c>
      <c r="B662" s="39"/>
      <c r="C662" s="5" t="s">
        <v>62</v>
      </c>
      <c r="D662" s="5" t="s">
        <v>59</v>
      </c>
      <c r="E662" s="5"/>
      <c r="F662" s="5"/>
      <c r="G662" s="6">
        <f>G663+G666</f>
        <v>6745.3</v>
      </c>
      <c r="H662" s="6">
        <f>H663+H666</f>
        <v>5995.700000000001</v>
      </c>
      <c r="I662" s="6">
        <f>I663+I666</f>
        <v>6003.5</v>
      </c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35.25" customHeight="1">
      <c r="A663" s="41" t="s">
        <v>42</v>
      </c>
      <c r="B663" s="39">
        <v>806</v>
      </c>
      <c r="C663" s="5" t="s">
        <v>62</v>
      </c>
      <c r="D663" s="5" t="s">
        <v>59</v>
      </c>
      <c r="E663" s="5" t="s">
        <v>43</v>
      </c>
      <c r="F663" s="5"/>
      <c r="G663" s="6">
        <f aca="true" t="shared" si="56" ref="G663:I664">G664</f>
        <v>2838.5</v>
      </c>
      <c r="H663" s="6">
        <f t="shared" si="56"/>
        <v>2833.9</v>
      </c>
      <c r="I663" s="6">
        <f t="shared" si="56"/>
        <v>2834.2</v>
      </c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8.75" customHeight="1">
      <c r="A664" s="41" t="s">
        <v>589</v>
      </c>
      <c r="B664" s="39">
        <v>806</v>
      </c>
      <c r="C664" s="5" t="s">
        <v>62</v>
      </c>
      <c r="D664" s="5" t="s">
        <v>59</v>
      </c>
      <c r="E664" s="5" t="s">
        <v>45</v>
      </c>
      <c r="F664" s="5"/>
      <c r="G664" s="6">
        <f t="shared" si="56"/>
        <v>2838.5</v>
      </c>
      <c r="H664" s="6">
        <f t="shared" si="56"/>
        <v>2833.9</v>
      </c>
      <c r="I664" s="6">
        <f t="shared" si="56"/>
        <v>2834.2</v>
      </c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18.75" customHeight="1">
      <c r="A665" s="41" t="s">
        <v>361</v>
      </c>
      <c r="B665" s="39">
        <v>806</v>
      </c>
      <c r="C665" s="5" t="s">
        <v>62</v>
      </c>
      <c r="D665" s="5" t="s">
        <v>59</v>
      </c>
      <c r="E665" s="5" t="s">
        <v>45</v>
      </c>
      <c r="F665" s="5" t="s">
        <v>214</v>
      </c>
      <c r="G665" s="6">
        <f>'прил.16'!G699</f>
        <v>2838.5</v>
      </c>
      <c r="H665" s="6">
        <f>'прил.16'!H699</f>
        <v>2833.9</v>
      </c>
      <c r="I665" s="6">
        <f>'прил.16'!I699</f>
        <v>2834.2</v>
      </c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52.5" customHeight="1">
      <c r="A666" s="41" t="s">
        <v>700</v>
      </c>
      <c r="B666" s="39"/>
      <c r="C666" s="5" t="s">
        <v>62</v>
      </c>
      <c r="D666" s="5" t="s">
        <v>59</v>
      </c>
      <c r="E666" s="5" t="s">
        <v>555</v>
      </c>
      <c r="F666" s="5"/>
      <c r="G666" s="6">
        <f>G667+G669</f>
        <v>3906.8</v>
      </c>
      <c r="H666" s="6">
        <f>H667+H669</f>
        <v>3161.8</v>
      </c>
      <c r="I666" s="6">
        <f>I667+I669</f>
        <v>3169.3</v>
      </c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18.75" customHeight="1" hidden="1">
      <c r="A667" s="45" t="s">
        <v>496</v>
      </c>
      <c r="B667" s="39"/>
      <c r="C667" s="5" t="s">
        <v>62</v>
      </c>
      <c r="D667" s="5" t="s">
        <v>59</v>
      </c>
      <c r="E667" s="5" t="s">
        <v>500</v>
      </c>
      <c r="F667" s="5"/>
      <c r="G667" s="6">
        <f>G668</f>
        <v>0</v>
      </c>
      <c r="H667" s="6">
        <f>H668</f>
        <v>0</v>
      </c>
      <c r="I667" s="6">
        <f>I668</f>
        <v>0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8.75" customHeight="1" hidden="1">
      <c r="A668" s="41" t="s">
        <v>13</v>
      </c>
      <c r="B668" s="39"/>
      <c r="C668" s="5" t="s">
        <v>62</v>
      </c>
      <c r="D668" s="5" t="s">
        <v>59</v>
      </c>
      <c r="E668" s="5" t="s">
        <v>500</v>
      </c>
      <c r="F668" s="5" t="s">
        <v>572</v>
      </c>
      <c r="G668" s="6">
        <f>'прил.16'!G702</f>
        <v>0</v>
      </c>
      <c r="H668" s="6">
        <f>'прил.16'!H702</f>
        <v>0</v>
      </c>
      <c r="I668" s="6">
        <f>'прил.16'!I702</f>
        <v>0</v>
      </c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8.75" customHeight="1">
      <c r="A669" s="45" t="s">
        <v>566</v>
      </c>
      <c r="B669" s="39"/>
      <c r="C669" s="5" t="s">
        <v>62</v>
      </c>
      <c r="D669" s="5" t="s">
        <v>59</v>
      </c>
      <c r="E669" s="5" t="s">
        <v>556</v>
      </c>
      <c r="F669" s="5"/>
      <c r="G669" s="6">
        <f>G670</f>
        <v>3906.8</v>
      </c>
      <c r="H669" s="6">
        <f>H670</f>
        <v>3161.8</v>
      </c>
      <c r="I669" s="6">
        <f>I670</f>
        <v>3169.3</v>
      </c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18.75" customHeight="1">
      <c r="A670" s="41" t="s">
        <v>13</v>
      </c>
      <c r="B670" s="39"/>
      <c r="C670" s="5" t="s">
        <v>62</v>
      </c>
      <c r="D670" s="5" t="s">
        <v>59</v>
      </c>
      <c r="E670" s="5" t="s">
        <v>556</v>
      </c>
      <c r="F670" s="5" t="s">
        <v>572</v>
      </c>
      <c r="G670" s="6">
        <f>'прил.16'!G704</f>
        <v>3906.8</v>
      </c>
      <c r="H670" s="6">
        <f>'прил.16'!H704</f>
        <v>3161.8</v>
      </c>
      <c r="I670" s="6">
        <f>'прил.16'!I704</f>
        <v>3169.3</v>
      </c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8.75" customHeight="1">
      <c r="A671" s="45" t="s">
        <v>514</v>
      </c>
      <c r="B671" s="39">
        <v>801</v>
      </c>
      <c r="C671" s="5" t="s">
        <v>530</v>
      </c>
      <c r="D671" s="5"/>
      <c r="E671" s="5"/>
      <c r="F671" s="5"/>
      <c r="G671" s="6">
        <f aca="true" t="shared" si="57" ref="G671:I672">G672</f>
        <v>32768.4</v>
      </c>
      <c r="H671" s="6">
        <f t="shared" si="57"/>
        <v>30141.7</v>
      </c>
      <c r="I671" s="6">
        <f t="shared" si="57"/>
        <v>30286</v>
      </c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18.75" customHeight="1">
      <c r="A672" s="45" t="s">
        <v>757</v>
      </c>
      <c r="B672" s="39"/>
      <c r="C672" s="5" t="s">
        <v>530</v>
      </c>
      <c r="D672" s="5" t="s">
        <v>808</v>
      </c>
      <c r="E672" s="5"/>
      <c r="F672" s="5"/>
      <c r="G672" s="6">
        <f t="shared" si="57"/>
        <v>32768.4</v>
      </c>
      <c r="H672" s="6">
        <f t="shared" si="57"/>
        <v>30141.7</v>
      </c>
      <c r="I672" s="6">
        <f t="shared" si="57"/>
        <v>30286</v>
      </c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18.75" customHeight="1">
      <c r="A673" s="20" t="s">
        <v>758</v>
      </c>
      <c r="B673" s="39">
        <v>801</v>
      </c>
      <c r="C673" s="5" t="s">
        <v>530</v>
      </c>
      <c r="D673" s="5" t="s">
        <v>808</v>
      </c>
      <c r="E673" s="5" t="s">
        <v>381</v>
      </c>
      <c r="F673" s="5"/>
      <c r="G673" s="6">
        <f>G674+G676</f>
        <v>32768.4</v>
      </c>
      <c r="H673" s="6">
        <f>H674+H676</f>
        <v>30141.7</v>
      </c>
      <c r="I673" s="6">
        <f>I674+I676</f>
        <v>30286</v>
      </c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8.75" customHeight="1">
      <c r="A674" s="45" t="s">
        <v>593</v>
      </c>
      <c r="B674" s="39">
        <v>801</v>
      </c>
      <c r="C674" s="5" t="s">
        <v>530</v>
      </c>
      <c r="D674" s="5" t="s">
        <v>808</v>
      </c>
      <c r="E674" s="5" t="s">
        <v>526</v>
      </c>
      <c r="F674" s="5"/>
      <c r="G674" s="6">
        <f>G675</f>
        <v>25</v>
      </c>
      <c r="H674" s="6">
        <f>H675</f>
        <v>25</v>
      </c>
      <c r="I674" s="6">
        <f>I675</f>
        <v>25</v>
      </c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8.75" customHeight="1">
      <c r="A675" s="41" t="s">
        <v>13</v>
      </c>
      <c r="B675" s="39">
        <v>801</v>
      </c>
      <c r="C675" s="5" t="s">
        <v>530</v>
      </c>
      <c r="D675" s="5" t="s">
        <v>808</v>
      </c>
      <c r="E675" s="5" t="s">
        <v>526</v>
      </c>
      <c r="F675" s="5" t="s">
        <v>572</v>
      </c>
      <c r="G675" s="6">
        <f>'прил.16'!G150</f>
        <v>25</v>
      </c>
      <c r="H675" s="6">
        <f>'прил.16'!H150</f>
        <v>25</v>
      </c>
      <c r="I675" s="6">
        <f>'прил.16'!I150</f>
        <v>25</v>
      </c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8.75" customHeight="1">
      <c r="A676" s="41" t="s">
        <v>566</v>
      </c>
      <c r="B676" s="39">
        <v>801</v>
      </c>
      <c r="C676" s="5" t="s">
        <v>530</v>
      </c>
      <c r="D676" s="5" t="s">
        <v>808</v>
      </c>
      <c r="E676" s="5" t="s">
        <v>382</v>
      </c>
      <c r="F676" s="5"/>
      <c r="G676" s="6">
        <f>G677</f>
        <v>32743.4</v>
      </c>
      <c r="H676" s="6">
        <f>H677</f>
        <v>30116.7</v>
      </c>
      <c r="I676" s="6">
        <f>I677</f>
        <v>30261</v>
      </c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8.75" customHeight="1">
      <c r="A677" s="41" t="s">
        <v>13</v>
      </c>
      <c r="B677" s="39">
        <v>801</v>
      </c>
      <c r="C677" s="5" t="s">
        <v>530</v>
      </c>
      <c r="D677" s="5" t="s">
        <v>808</v>
      </c>
      <c r="E677" s="5" t="s">
        <v>382</v>
      </c>
      <c r="F677" s="5" t="s">
        <v>572</v>
      </c>
      <c r="G677" s="6">
        <f>'прил.16'!G152</f>
        <v>32743.4</v>
      </c>
      <c r="H677" s="6">
        <f>'прил.16'!H152</f>
        <v>30116.7</v>
      </c>
      <c r="I677" s="6">
        <f>'прил.16'!I152</f>
        <v>30261</v>
      </c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8.75" customHeight="1">
      <c r="A678" s="45" t="s">
        <v>515</v>
      </c>
      <c r="B678" s="45"/>
      <c r="C678" s="5" t="s">
        <v>508</v>
      </c>
      <c r="D678" s="5"/>
      <c r="E678" s="5"/>
      <c r="F678" s="5"/>
      <c r="G678" s="6">
        <f>G680</f>
        <v>26875</v>
      </c>
      <c r="H678" s="6">
        <f>H680</f>
        <v>17690</v>
      </c>
      <c r="I678" s="6">
        <f>I680</f>
        <v>7893</v>
      </c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8.75" customHeight="1">
      <c r="A679" s="45" t="s">
        <v>759</v>
      </c>
      <c r="B679" s="45"/>
      <c r="C679" s="5" t="s">
        <v>508</v>
      </c>
      <c r="D679" s="5" t="s">
        <v>807</v>
      </c>
      <c r="E679" s="5"/>
      <c r="F679" s="5"/>
      <c r="G679" s="6">
        <f aca="true" t="shared" si="58" ref="G679:I681">G680</f>
        <v>26875</v>
      </c>
      <c r="H679" s="6">
        <f t="shared" si="58"/>
        <v>17690</v>
      </c>
      <c r="I679" s="6">
        <f t="shared" si="58"/>
        <v>7893</v>
      </c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8.75" customHeight="1">
      <c r="A680" s="45" t="s">
        <v>760</v>
      </c>
      <c r="B680" s="45"/>
      <c r="C680" s="5" t="s">
        <v>508</v>
      </c>
      <c r="D680" s="5" t="s">
        <v>807</v>
      </c>
      <c r="E680" s="5" t="s">
        <v>154</v>
      </c>
      <c r="F680" s="5"/>
      <c r="G680" s="6">
        <f t="shared" si="58"/>
        <v>26875</v>
      </c>
      <c r="H680" s="6">
        <f t="shared" si="58"/>
        <v>17690</v>
      </c>
      <c r="I680" s="6">
        <f t="shared" si="58"/>
        <v>7893</v>
      </c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8.75" customHeight="1">
      <c r="A681" s="41" t="s">
        <v>156</v>
      </c>
      <c r="B681" s="131"/>
      <c r="C681" s="5" t="s">
        <v>508</v>
      </c>
      <c r="D681" s="5" t="s">
        <v>807</v>
      </c>
      <c r="E681" s="5" t="s">
        <v>155</v>
      </c>
      <c r="F681" s="5"/>
      <c r="G681" s="6">
        <f t="shared" si="58"/>
        <v>26875</v>
      </c>
      <c r="H681" s="6">
        <f t="shared" si="58"/>
        <v>17690</v>
      </c>
      <c r="I681" s="6">
        <f t="shared" si="58"/>
        <v>7893</v>
      </c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8.75" customHeight="1">
      <c r="A682" s="45" t="s">
        <v>157</v>
      </c>
      <c r="B682" s="45"/>
      <c r="C682" s="5" t="s">
        <v>508</v>
      </c>
      <c r="D682" s="5" t="s">
        <v>807</v>
      </c>
      <c r="E682" s="5" t="s">
        <v>155</v>
      </c>
      <c r="F682" s="5" t="s">
        <v>559</v>
      </c>
      <c r="G682" s="6">
        <f>'прил.16'!G538</f>
        <v>26875</v>
      </c>
      <c r="H682" s="6">
        <f>'прил.16'!H538</f>
        <v>17690</v>
      </c>
      <c r="I682" s="6">
        <f>'прил.16'!I538</f>
        <v>7893</v>
      </c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7.25" customHeight="1">
      <c r="A683" s="20" t="s">
        <v>800</v>
      </c>
      <c r="B683" s="35"/>
      <c r="C683" s="5"/>
      <c r="D683" s="5"/>
      <c r="E683" s="5"/>
      <c r="F683" s="5"/>
      <c r="G683" s="6">
        <f>G16+G98+G124+G157+G251+G268+G406+G469+G560+G643+G671+G678</f>
        <v>5997705.400000002</v>
      </c>
      <c r="H683" s="6">
        <f>H16+H98+H124+H157+H251+H268+H406+H469+H560+H643+H671+H678</f>
        <v>5170957.8</v>
      </c>
      <c r="I683" s="6">
        <f>I16+I98+I124+I157+I251+I268+I406+I469+I560+I643+I671+I678</f>
        <v>4832155.399999999</v>
      </c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7.25" customHeight="1">
      <c r="A684" s="19" t="s">
        <v>23</v>
      </c>
      <c r="B684" s="35"/>
      <c r="C684" s="5"/>
      <c r="D684" s="5"/>
      <c r="E684" s="5"/>
      <c r="F684" s="5"/>
      <c r="G684" s="6"/>
      <c r="H684" s="6">
        <f>'прил.16'!H1033</f>
        <v>1118472</v>
      </c>
      <c r="I684" s="6">
        <f>'прил.16'!I1033</f>
        <v>1133667.0000000002</v>
      </c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7.25" customHeight="1">
      <c r="A685" s="19" t="s">
        <v>24</v>
      </c>
      <c r="B685" s="35"/>
      <c r="C685" s="5"/>
      <c r="D685" s="5"/>
      <c r="E685" s="5"/>
      <c r="F685" s="5"/>
      <c r="G685" s="6"/>
      <c r="H685" s="6">
        <f>H683+H684</f>
        <v>6289429.8</v>
      </c>
      <c r="I685" s="6">
        <f>I683+I684</f>
        <v>5965822.399999999</v>
      </c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7:23" ht="12.75">
      <c r="G686" s="7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7:23" ht="12.75">
      <c r="G687" s="7">
        <f>G683-'прил.16'!G1032</f>
        <v>0</v>
      </c>
      <c r="H687" s="7">
        <f>H683-'прил.16'!H1032</f>
        <v>0</v>
      </c>
      <c r="I687" s="7">
        <f>I683-'прил.16'!I1032</f>
        <v>0</v>
      </c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9:23" ht="12.75"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9:23" ht="12.75"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9:23" ht="12.75"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7:23" ht="12.75">
      <c r="G691" s="7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7:23" ht="12.75">
      <c r="G692" s="7">
        <f>G20+G24+G26+G28+G32+G46+G250+G259+G352+G445+G527+G620+G665+G141</f>
        <v>280301.3</v>
      </c>
      <c r="H692" s="7">
        <f>H20+H24+H26+H28+H32+H46+H250+H259+H352+H445+H527+H620+H665+H141</f>
        <v>272874.6</v>
      </c>
      <c r="I692" s="7">
        <f>I20+I24+I26+I28+I32+I46+I250+I259+I352+I445+I527+I620+I665+I141</f>
        <v>273397</v>
      </c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7:23" ht="12.75">
      <c r="G693" s="7">
        <f>280722.6-G692</f>
        <v>421.29999999998836</v>
      </c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9:23" ht="12.75"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9:23" ht="12.75"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9:23" ht="12.75"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9:23" ht="12.75"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5:23" ht="16.5">
      <c r="E698" s="4" t="s">
        <v>369</v>
      </c>
      <c r="G698" s="7">
        <f>G649+G638+G556+G463+G397+G119+G94+G347</f>
        <v>7440.299999999999</v>
      </c>
      <c r="H698" s="7">
        <f>H649+H638+H556+H463+H397+H119+H94+H347</f>
        <v>8198.3</v>
      </c>
      <c r="I698" s="7">
        <f>I649+I638+I556+I463+I397+I119+I94+I347</f>
        <v>9807.3</v>
      </c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5:23" ht="16.5">
      <c r="E699" s="4" t="s">
        <v>365</v>
      </c>
      <c r="G699" s="7">
        <f>G558+G466+G400+G267</f>
        <v>9998.5</v>
      </c>
      <c r="H699" s="7">
        <f>H558+H466+H400+H267</f>
        <v>10897.8</v>
      </c>
      <c r="I699" s="7">
        <f>I558+I466+I400+I267</f>
        <v>16904.5</v>
      </c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5:23" ht="16.5">
      <c r="E700" s="4" t="s">
        <v>363</v>
      </c>
      <c r="G700" s="7">
        <f>G651+G401</f>
        <v>25060.6</v>
      </c>
      <c r="H700" s="7">
        <f>H651+H401</f>
        <v>0</v>
      </c>
      <c r="I700" s="7">
        <f>I651+I401</f>
        <v>0</v>
      </c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ht="12.75">
      <c r="G701">
        <v>1</v>
      </c>
    </row>
  </sheetData>
  <mergeCells count="9">
    <mergeCell ref="H14:I14"/>
    <mergeCell ref="A8:I8"/>
    <mergeCell ref="A9:I9"/>
    <mergeCell ref="A7:I7"/>
    <mergeCell ref="A14:A15"/>
    <mergeCell ref="C14:C15"/>
    <mergeCell ref="D14:D15"/>
    <mergeCell ref="E14:E15"/>
    <mergeCell ref="F14:F15"/>
  </mergeCells>
  <printOptions/>
  <pageMargins left="1.1811023622047245" right="0.3937007874015748" top="0.7874015748031497" bottom="0.3937007874015748" header="0.3937007874015748" footer="0.42"/>
  <pageSetup fitToHeight="10" fitToWidth="1" horizontalDpi="600" verticalDpi="600" orientation="portrait" paperSize="9" scale="5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1064"/>
  <sheetViews>
    <sheetView showZeros="0" tabSelected="1" view="pageBreakPreview" zoomScale="75" zoomScaleNormal="75" zoomScaleSheetLayoutView="75" workbookViewId="0" topLeftCell="A681">
      <selection activeCell="A745" sqref="A745"/>
    </sheetView>
  </sheetViews>
  <sheetFormatPr defaultColWidth="9.00390625" defaultRowHeight="12.75"/>
  <cols>
    <col min="1" max="1" width="111.625" style="65" customWidth="1"/>
    <col min="2" max="2" width="10.25390625" style="65" customWidth="1"/>
    <col min="3" max="3" width="9.00390625" style="65" customWidth="1"/>
    <col min="4" max="4" width="9.625" style="65" customWidth="1"/>
    <col min="5" max="5" width="11.125" style="65" customWidth="1"/>
    <col min="6" max="6" width="10.25390625" style="65" customWidth="1"/>
    <col min="7" max="7" width="19.00390625" style="65" hidden="1" customWidth="1"/>
    <col min="8" max="8" width="15.75390625" style="65" customWidth="1"/>
    <col min="9" max="9" width="16.25390625" style="65" customWidth="1"/>
    <col min="10" max="10" width="15.75390625" style="65" customWidth="1"/>
    <col min="11" max="11" width="10.875" style="65" hidden="1" customWidth="1"/>
    <col min="12" max="12" width="11.75390625" style="65" hidden="1" customWidth="1"/>
    <col min="13" max="13" width="12.25390625" style="67" hidden="1" customWidth="1"/>
    <col min="14" max="14" width="12.125" style="65" hidden="1" customWidth="1"/>
    <col min="15" max="15" width="10.75390625" style="65" bestFit="1" customWidth="1"/>
    <col min="16" max="17" width="9.125" style="65" customWidth="1"/>
    <col min="18" max="18" width="10.75390625" style="65" bestFit="1" customWidth="1"/>
    <col min="19" max="16384" width="9.125" style="65" customWidth="1"/>
  </cols>
  <sheetData>
    <row r="1" ht="12.75"/>
    <row r="2" spans="6:9" ht="16.5">
      <c r="F2" s="66"/>
      <c r="G2" s="66"/>
      <c r="H2" s="66"/>
      <c r="I2" s="66"/>
    </row>
    <row r="3" spans="7:9" ht="16.5">
      <c r="G3" s="66"/>
      <c r="H3" s="66" t="s">
        <v>641</v>
      </c>
      <c r="I3" s="66"/>
    </row>
    <row r="4" spans="7:29" ht="16.5">
      <c r="G4" s="66"/>
      <c r="H4" s="66" t="s">
        <v>167</v>
      </c>
      <c r="I4" s="66"/>
      <c r="J4" s="68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7:29" ht="16.5">
      <c r="G5" s="66"/>
      <c r="H5" s="66" t="s">
        <v>166</v>
      </c>
      <c r="I5" s="66"/>
      <c r="J5" s="68"/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7:29" ht="16.5">
      <c r="G6" s="66"/>
      <c r="H6" s="66" t="s">
        <v>576</v>
      </c>
      <c r="I6" s="66"/>
      <c r="J6" s="68"/>
      <c r="K6" s="68"/>
      <c r="L6" s="68"/>
      <c r="M6" s="69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6:29" ht="16.5">
      <c r="F7" s="66"/>
      <c r="G7" s="66"/>
      <c r="H7" s="66"/>
      <c r="I7" s="66"/>
      <c r="J7" s="68"/>
      <c r="K7" s="68"/>
      <c r="L7" s="68"/>
      <c r="M7" s="69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21.75" customHeight="1">
      <c r="A8" s="167"/>
      <c r="B8" s="167"/>
      <c r="C8" s="167"/>
      <c r="D8" s="167"/>
      <c r="E8" s="167"/>
      <c r="F8" s="167"/>
      <c r="G8" s="167"/>
      <c r="H8" s="60"/>
      <c r="I8" s="60"/>
      <c r="J8" s="68"/>
      <c r="K8" s="68"/>
      <c r="L8" s="68"/>
      <c r="M8" s="69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ht="17.25" customHeight="1">
      <c r="A9" s="161" t="s">
        <v>275</v>
      </c>
      <c r="B9" s="161"/>
      <c r="C9" s="161"/>
      <c r="D9" s="161"/>
      <c r="E9" s="161"/>
      <c r="F9" s="168"/>
      <c r="G9" s="168"/>
      <c r="H9" s="162"/>
      <c r="I9" s="162"/>
      <c r="J9" s="68"/>
      <c r="K9" s="68"/>
      <c r="L9" s="68"/>
      <c r="M9" s="69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ht="21" customHeight="1">
      <c r="A10" s="161" t="s">
        <v>642</v>
      </c>
      <c r="B10" s="161"/>
      <c r="C10" s="161"/>
      <c r="D10" s="161"/>
      <c r="E10" s="168"/>
      <c r="F10" s="168"/>
      <c r="G10" s="168"/>
      <c r="H10" s="162"/>
      <c r="I10" s="162"/>
      <c r="J10" s="68"/>
      <c r="K10" s="68"/>
      <c r="L10" s="68"/>
      <c r="M10" s="69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21" customHeight="1">
      <c r="A11" s="161" t="s">
        <v>636</v>
      </c>
      <c r="B11" s="162"/>
      <c r="C11" s="162"/>
      <c r="D11" s="162"/>
      <c r="E11" s="162"/>
      <c r="F11" s="162"/>
      <c r="G11" s="162"/>
      <c r="H11" s="162"/>
      <c r="I11" s="162"/>
      <c r="J11" s="68"/>
      <c r="K11" s="68"/>
      <c r="L11" s="68"/>
      <c r="M11" s="69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16.5">
      <c r="A12" s="71"/>
      <c r="B12" s="71"/>
      <c r="C12" s="72"/>
      <c r="D12" s="72"/>
      <c r="E12" s="72"/>
      <c r="F12" s="72"/>
      <c r="J12" s="68"/>
      <c r="K12" s="68"/>
      <c r="L12" s="68"/>
      <c r="M12" s="69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ht="16.5">
      <c r="A13" s="73"/>
      <c r="B13" s="72"/>
      <c r="C13" s="72"/>
      <c r="D13" s="72"/>
      <c r="E13" s="72"/>
      <c r="F13" s="72"/>
      <c r="G13" s="74"/>
      <c r="H13" s="74"/>
      <c r="I13" s="74"/>
      <c r="J13" s="75"/>
      <c r="K13" s="68"/>
      <c r="L13" s="68"/>
      <c r="M13" s="69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29" s="70" customFormat="1" ht="28.5" customHeight="1">
      <c r="A14" s="163" t="s">
        <v>803</v>
      </c>
      <c r="B14" s="165" t="s">
        <v>548</v>
      </c>
      <c r="C14" s="165" t="s">
        <v>804</v>
      </c>
      <c r="D14" s="165" t="s">
        <v>65</v>
      </c>
      <c r="E14" s="165" t="s">
        <v>66</v>
      </c>
      <c r="F14" s="165" t="s">
        <v>67</v>
      </c>
      <c r="G14" s="32" t="s">
        <v>259</v>
      </c>
      <c r="H14" s="149" t="s">
        <v>627</v>
      </c>
      <c r="I14" s="150"/>
      <c r="J14" s="76"/>
      <c r="K14" s="77"/>
      <c r="L14" s="77"/>
      <c r="M14" s="78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s="70" customFormat="1" ht="21.75" customHeight="1">
      <c r="A15" s="164"/>
      <c r="B15" s="166"/>
      <c r="C15" s="166"/>
      <c r="D15" s="166"/>
      <c r="E15" s="166"/>
      <c r="F15" s="166"/>
      <c r="G15" s="32"/>
      <c r="H15" s="32" t="s">
        <v>260</v>
      </c>
      <c r="I15" s="32" t="s">
        <v>261</v>
      </c>
      <c r="J15" s="76"/>
      <c r="K15" s="77"/>
      <c r="L15" s="77"/>
      <c r="M15" s="78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ht="18.75" customHeight="1">
      <c r="A16" s="79" t="s">
        <v>100</v>
      </c>
      <c r="B16" s="51">
        <v>801</v>
      </c>
      <c r="C16" s="52"/>
      <c r="D16" s="52"/>
      <c r="E16" s="52"/>
      <c r="F16" s="52"/>
      <c r="G16" s="40">
        <f>SUM(G17,G67,G81,G102,G118,G128,G146)</f>
        <v>356811.00000000006</v>
      </c>
      <c r="H16" s="40">
        <f>SUM(H17,H67,H81,H102,H118,H128,H146)</f>
        <v>317282.2</v>
      </c>
      <c r="I16" s="40">
        <f>SUM(I17,I67,I81,I102,I118,I128,I146)</f>
        <v>319074.8</v>
      </c>
      <c r="J16" s="75"/>
      <c r="K16" s="68"/>
      <c r="L16" s="68"/>
      <c r="M16" s="69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ht="18" customHeight="1">
      <c r="A17" s="79" t="s">
        <v>15</v>
      </c>
      <c r="B17" s="51">
        <v>801</v>
      </c>
      <c r="C17" s="52" t="s">
        <v>807</v>
      </c>
      <c r="D17" s="52"/>
      <c r="E17" s="52"/>
      <c r="F17" s="52"/>
      <c r="G17" s="40">
        <f>SUM(G18,G22,G33,G40,G36)</f>
        <v>199703.30000000002</v>
      </c>
      <c r="H17" s="40">
        <f>SUM(H18,H22,H33,H40)</f>
        <v>174622.6</v>
      </c>
      <c r="I17" s="40">
        <f>SUM(I18,I22,I33,I40,I36)</f>
        <v>178243.7</v>
      </c>
      <c r="J17" s="75"/>
      <c r="K17" s="69"/>
      <c r="L17" s="68"/>
      <c r="M17" s="6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ht="36.75" customHeight="1">
      <c r="A18" s="79" t="s">
        <v>37</v>
      </c>
      <c r="B18" s="51">
        <v>801</v>
      </c>
      <c r="C18" s="52" t="s">
        <v>807</v>
      </c>
      <c r="D18" s="52" t="s">
        <v>808</v>
      </c>
      <c r="E18" s="52"/>
      <c r="F18" s="52"/>
      <c r="G18" s="40">
        <f>SUM(G19)</f>
        <v>2114.3</v>
      </c>
      <c r="H18" s="40">
        <f aca="true" t="shared" si="0" ref="H18:I20">SUM(H19)</f>
        <v>2114.3</v>
      </c>
      <c r="I18" s="40">
        <f t="shared" si="0"/>
        <v>2114.3</v>
      </c>
      <c r="J18" s="75"/>
      <c r="K18" s="80" t="s">
        <v>529</v>
      </c>
      <c r="L18" s="69">
        <f>G102+G171+G231+G263+G279+G529+G555+G644+G716+G833+G877+G980</f>
        <v>2294335</v>
      </c>
      <c r="M18" s="69">
        <f>H102+H171+H231+H263+H279+H529+H555+H644+H716+H833+H877+H980</f>
        <v>2049791.2000000002</v>
      </c>
      <c r="N18" s="69">
        <f>I102+I171+I231+I263+I279+I529+I555+I644+I716+I833+I877+I980</f>
        <v>2092183.2</v>
      </c>
      <c r="O18" s="69"/>
      <c r="P18" s="68"/>
      <c r="Q18" s="68"/>
      <c r="R18" s="69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ht="35.25" customHeight="1">
      <c r="A19" s="81" t="s">
        <v>42</v>
      </c>
      <c r="B19" s="51">
        <v>801</v>
      </c>
      <c r="C19" s="52" t="s">
        <v>807</v>
      </c>
      <c r="D19" s="52" t="s">
        <v>808</v>
      </c>
      <c r="E19" s="52" t="s">
        <v>43</v>
      </c>
      <c r="F19" s="52"/>
      <c r="G19" s="40">
        <f>SUM(G20)</f>
        <v>2114.3</v>
      </c>
      <c r="H19" s="40">
        <f t="shared" si="0"/>
        <v>2114.3</v>
      </c>
      <c r="I19" s="40">
        <f t="shared" si="0"/>
        <v>2114.3</v>
      </c>
      <c r="J19" s="75"/>
      <c r="K19" s="80" t="s">
        <v>807</v>
      </c>
      <c r="L19" s="69">
        <f>G17+G154+G177+G500+G540+G850+G779</f>
        <v>302014.30000000005</v>
      </c>
      <c r="M19" s="69">
        <f>H17+H154+H177+H500+H540+H850+H779</f>
        <v>273895.10000000003</v>
      </c>
      <c r="N19" s="69">
        <f>I17+I154+I177+I500+I540+I850+I779</f>
        <v>276979</v>
      </c>
      <c r="O19" s="68"/>
      <c r="P19" s="68"/>
      <c r="Q19" s="68"/>
      <c r="R19" s="69"/>
      <c r="S19" s="69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ht="18.75" customHeight="1">
      <c r="A20" s="81" t="s">
        <v>623</v>
      </c>
      <c r="B20" s="51">
        <v>801</v>
      </c>
      <c r="C20" s="52" t="s">
        <v>807</v>
      </c>
      <c r="D20" s="52" t="s">
        <v>808</v>
      </c>
      <c r="E20" s="52" t="s">
        <v>44</v>
      </c>
      <c r="F20" s="52"/>
      <c r="G20" s="40">
        <f>SUM(G21)</f>
        <v>2114.3</v>
      </c>
      <c r="H20" s="40">
        <f t="shared" si="0"/>
        <v>2114.3</v>
      </c>
      <c r="I20" s="40">
        <f t="shared" si="0"/>
        <v>2114.3</v>
      </c>
      <c r="J20" s="75"/>
      <c r="K20" s="80" t="s">
        <v>809</v>
      </c>
      <c r="L20" s="69">
        <f>G67+G1019+G865</f>
        <v>61553.2</v>
      </c>
      <c r="M20" s="69">
        <f>H67+H1019+H865</f>
        <v>58288.600000000006</v>
      </c>
      <c r="N20" s="69">
        <f>I67+I1019+I865</f>
        <v>58819.5</v>
      </c>
      <c r="O20" s="68"/>
      <c r="P20" s="68"/>
      <c r="Q20" s="68"/>
      <c r="R20" s="69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</row>
    <row r="21" spans="1:29" ht="19.5" customHeight="1">
      <c r="A21" s="82" t="s">
        <v>361</v>
      </c>
      <c r="B21" s="51">
        <v>801</v>
      </c>
      <c r="C21" s="52" t="s">
        <v>807</v>
      </c>
      <c r="D21" s="52" t="s">
        <v>808</v>
      </c>
      <c r="E21" s="52" t="s">
        <v>44</v>
      </c>
      <c r="F21" s="52" t="s">
        <v>214</v>
      </c>
      <c r="G21" s="40">
        <v>2114.3</v>
      </c>
      <c r="H21" s="40">
        <v>2114.3</v>
      </c>
      <c r="I21" s="40">
        <v>2114.3</v>
      </c>
      <c r="J21" s="75"/>
      <c r="K21" s="80" t="s">
        <v>810</v>
      </c>
      <c r="L21" s="69">
        <f>G81+G250+G912+G792+G839</f>
        <v>148281.9</v>
      </c>
      <c r="M21" s="69">
        <f>H81+H250+H912+H792+H839</f>
        <v>126825.09999999998</v>
      </c>
      <c r="N21" s="69">
        <f>I81+I250+I912+I792+I839</f>
        <v>124417.80000000002</v>
      </c>
      <c r="O21" s="68"/>
      <c r="P21" s="68"/>
      <c r="Q21" s="68"/>
      <c r="R21" s="69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1:29" ht="38.25" customHeight="1">
      <c r="A22" s="81" t="s">
        <v>46</v>
      </c>
      <c r="B22" s="51">
        <v>801</v>
      </c>
      <c r="C22" s="52" t="s">
        <v>807</v>
      </c>
      <c r="D22" s="52" t="s">
        <v>810</v>
      </c>
      <c r="E22" s="52"/>
      <c r="F22" s="52"/>
      <c r="G22" s="40">
        <f>SUM(G23,G26)</f>
        <v>93195.7</v>
      </c>
      <c r="H22" s="40">
        <f>SUM(H23,H26)</f>
        <v>90310</v>
      </c>
      <c r="I22" s="40">
        <f>SUM(I23,I26)</f>
        <v>90561.70000000001</v>
      </c>
      <c r="J22" s="75"/>
      <c r="K22" s="80" t="s">
        <v>59</v>
      </c>
      <c r="L22" s="69">
        <f>G187+G866+G918</f>
        <v>1227383.7</v>
      </c>
      <c r="M22" s="69">
        <f>H187+H866+H918</f>
        <v>957131.9000000001</v>
      </c>
      <c r="N22" s="69">
        <f>I187+I866+I918</f>
        <v>570664.0999999999</v>
      </c>
      <c r="O22" s="68"/>
      <c r="P22" s="68"/>
      <c r="Q22" s="68"/>
      <c r="R22" s="69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  <row r="23" spans="1:29" ht="36" customHeight="1">
      <c r="A23" s="81" t="s">
        <v>42</v>
      </c>
      <c r="B23" s="51">
        <v>801</v>
      </c>
      <c r="C23" s="52" t="s">
        <v>807</v>
      </c>
      <c r="D23" s="52" t="s">
        <v>810</v>
      </c>
      <c r="E23" s="52" t="s">
        <v>43</v>
      </c>
      <c r="F23" s="52"/>
      <c r="G23" s="40">
        <f aca="true" t="shared" si="1" ref="G23:I24">SUM(G24)</f>
        <v>91568.5</v>
      </c>
      <c r="H23" s="40">
        <f t="shared" si="1"/>
        <v>88764.7</v>
      </c>
      <c r="I23" s="40">
        <f t="shared" si="1"/>
        <v>89016.40000000001</v>
      </c>
      <c r="J23" s="75"/>
      <c r="K23" s="80" t="s">
        <v>811</v>
      </c>
      <c r="L23" s="69">
        <f>G820+G974</f>
        <v>18767.199999999997</v>
      </c>
      <c r="M23" s="69">
        <f>H820+H974</f>
        <v>16189.699999999999</v>
      </c>
      <c r="N23" s="69">
        <f>I820+I974</f>
        <v>17023.600000000002</v>
      </c>
      <c r="O23" s="68"/>
      <c r="P23" s="68"/>
      <c r="Q23" s="68"/>
      <c r="R23" s="69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29" ht="18" customHeight="1">
      <c r="A24" s="81" t="s">
        <v>589</v>
      </c>
      <c r="B24" s="51">
        <v>801</v>
      </c>
      <c r="C24" s="52" t="s">
        <v>807</v>
      </c>
      <c r="D24" s="52" t="s">
        <v>810</v>
      </c>
      <c r="E24" s="52" t="s">
        <v>45</v>
      </c>
      <c r="F24" s="52"/>
      <c r="G24" s="40">
        <f t="shared" si="1"/>
        <v>91568.5</v>
      </c>
      <c r="H24" s="40">
        <f t="shared" si="1"/>
        <v>88764.7</v>
      </c>
      <c r="I24" s="40">
        <f t="shared" si="1"/>
        <v>89016.40000000001</v>
      </c>
      <c r="J24" s="75"/>
      <c r="K24" s="80" t="s">
        <v>60</v>
      </c>
      <c r="L24" s="69">
        <f>G118+G378+G574+G897</f>
        <v>222955.90000000002</v>
      </c>
      <c r="M24" s="69">
        <f>H118+H378+H574+H897</f>
        <v>200345.50000000003</v>
      </c>
      <c r="N24" s="69">
        <f>I118+I378+I574+I897</f>
        <v>203659.3</v>
      </c>
      <c r="O24" s="68"/>
      <c r="P24" s="68"/>
      <c r="Q24" s="68"/>
      <c r="R24" s="69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ht="18.75" customHeight="1">
      <c r="A25" s="82" t="s">
        <v>361</v>
      </c>
      <c r="B25" s="51">
        <v>801</v>
      </c>
      <c r="C25" s="52" t="s">
        <v>807</v>
      </c>
      <c r="D25" s="52" t="s">
        <v>810</v>
      </c>
      <c r="E25" s="52" t="s">
        <v>45</v>
      </c>
      <c r="F25" s="52" t="s">
        <v>214</v>
      </c>
      <c r="G25" s="40">
        <f>90282.2+1286.3</f>
        <v>91568.5</v>
      </c>
      <c r="H25" s="40">
        <f>87413.9+1350.8</f>
        <v>88764.7</v>
      </c>
      <c r="I25" s="40">
        <f>87665.6+1350.8</f>
        <v>89016.40000000001</v>
      </c>
      <c r="J25" s="75"/>
      <c r="K25" s="80" t="s">
        <v>57</v>
      </c>
      <c r="L25" s="69">
        <f>G418+G902+G1010</f>
        <v>381714.4</v>
      </c>
      <c r="M25" s="69">
        <f>H418+H902+H1010</f>
        <v>294968.7</v>
      </c>
      <c r="N25" s="69">
        <f>I418+I902+I1010</f>
        <v>283669.2</v>
      </c>
      <c r="O25" s="68"/>
      <c r="P25" s="68"/>
      <c r="Q25" s="68"/>
      <c r="R25" s="69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</row>
    <row r="26" spans="1:29" ht="18.75" customHeight="1">
      <c r="A26" s="82" t="s">
        <v>653</v>
      </c>
      <c r="B26" s="51">
        <v>801</v>
      </c>
      <c r="C26" s="52" t="s">
        <v>807</v>
      </c>
      <c r="D26" s="52" t="s">
        <v>810</v>
      </c>
      <c r="E26" s="52" t="s">
        <v>30</v>
      </c>
      <c r="F26" s="52"/>
      <c r="G26" s="40">
        <f>G27+G29+G31</f>
        <v>1627.2</v>
      </c>
      <c r="H26" s="40">
        <f>H27+H29+H31</f>
        <v>1545.3</v>
      </c>
      <c r="I26" s="40">
        <f>I27+I29+I31</f>
        <v>1545.3</v>
      </c>
      <c r="J26" s="75"/>
      <c r="K26" s="80"/>
      <c r="L26" s="69"/>
      <c r="M26" s="69"/>
      <c r="N26" s="69"/>
      <c r="O26" s="68"/>
      <c r="P26" s="68"/>
      <c r="Q26" s="68"/>
      <c r="R26" s="69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1:29" ht="36.75" customHeight="1">
      <c r="A27" s="82" t="s">
        <v>654</v>
      </c>
      <c r="B27" s="51">
        <v>801</v>
      </c>
      <c r="C27" s="52" t="s">
        <v>807</v>
      </c>
      <c r="D27" s="52" t="s">
        <v>810</v>
      </c>
      <c r="E27" s="52" t="s">
        <v>349</v>
      </c>
      <c r="F27" s="52"/>
      <c r="G27" s="40">
        <f>G28</f>
        <v>1073.8</v>
      </c>
      <c r="H27" s="40">
        <f>H28</f>
        <v>1020.1</v>
      </c>
      <c r="I27" s="40">
        <f>I28</f>
        <v>1020.1</v>
      </c>
      <c r="J27" s="75"/>
      <c r="K27" s="80"/>
      <c r="L27" s="69"/>
      <c r="M27" s="69"/>
      <c r="N27" s="69"/>
      <c r="O27" s="68"/>
      <c r="P27" s="68"/>
      <c r="Q27" s="68"/>
      <c r="R27" s="69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ht="18.75" customHeight="1">
      <c r="A28" s="81" t="s">
        <v>377</v>
      </c>
      <c r="B28" s="51">
        <v>801</v>
      </c>
      <c r="C28" s="52" t="s">
        <v>807</v>
      </c>
      <c r="D28" s="52" t="s">
        <v>810</v>
      </c>
      <c r="E28" s="52" t="s">
        <v>349</v>
      </c>
      <c r="F28" s="52" t="s">
        <v>212</v>
      </c>
      <c r="G28" s="40">
        <v>1073.8</v>
      </c>
      <c r="H28" s="40">
        <v>1020.1</v>
      </c>
      <c r="I28" s="40">
        <v>1020.1</v>
      </c>
      <c r="J28" s="75"/>
      <c r="K28" s="80"/>
      <c r="L28" s="69"/>
      <c r="M28" s="69"/>
      <c r="N28" s="69"/>
      <c r="O28" s="68"/>
      <c r="P28" s="68"/>
      <c r="Q28" s="68"/>
      <c r="R28" s="69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29" ht="39" customHeight="1">
      <c r="A29" s="81" t="s">
        <v>655</v>
      </c>
      <c r="B29" s="51">
        <v>801</v>
      </c>
      <c r="C29" s="52" t="s">
        <v>807</v>
      </c>
      <c r="D29" s="52" t="s">
        <v>810</v>
      </c>
      <c r="E29" s="52" t="s">
        <v>350</v>
      </c>
      <c r="F29" s="52"/>
      <c r="G29" s="40">
        <f>G30</f>
        <v>552.7</v>
      </c>
      <c r="H29" s="40">
        <f>H30</f>
        <v>524.5</v>
      </c>
      <c r="I29" s="40">
        <f>I30</f>
        <v>524.5</v>
      </c>
      <c r="J29" s="75"/>
      <c r="K29" s="80"/>
      <c r="L29" s="69"/>
      <c r="M29" s="69"/>
      <c r="N29" s="69"/>
      <c r="O29" s="68"/>
      <c r="P29" s="68"/>
      <c r="Q29" s="68"/>
      <c r="R29" s="69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18.75" customHeight="1">
      <c r="A30" s="81" t="s">
        <v>377</v>
      </c>
      <c r="B30" s="51">
        <v>801</v>
      </c>
      <c r="C30" s="52" t="s">
        <v>807</v>
      </c>
      <c r="D30" s="52" t="s">
        <v>810</v>
      </c>
      <c r="E30" s="52" t="s">
        <v>350</v>
      </c>
      <c r="F30" s="52" t="s">
        <v>212</v>
      </c>
      <c r="G30" s="40">
        <v>552.7</v>
      </c>
      <c r="H30" s="40">
        <v>524.5</v>
      </c>
      <c r="I30" s="40">
        <v>524.5</v>
      </c>
      <c r="J30" s="75"/>
      <c r="K30" s="80"/>
      <c r="L30" s="69"/>
      <c r="M30" s="69"/>
      <c r="N30" s="69"/>
      <c r="O30" s="68"/>
      <c r="P30" s="68"/>
      <c r="Q30" s="68"/>
      <c r="R30" s="69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70.5" customHeight="1">
      <c r="A31" s="81" t="s">
        <v>656</v>
      </c>
      <c r="B31" s="51">
        <v>801</v>
      </c>
      <c r="C31" s="52" t="s">
        <v>807</v>
      </c>
      <c r="D31" s="52" t="s">
        <v>810</v>
      </c>
      <c r="E31" s="52" t="s">
        <v>351</v>
      </c>
      <c r="F31" s="52"/>
      <c r="G31" s="40">
        <f>G32</f>
        <v>0.7</v>
      </c>
      <c r="H31" s="40">
        <f>H32</f>
        <v>0.7</v>
      </c>
      <c r="I31" s="40">
        <f>I32</f>
        <v>0.7</v>
      </c>
      <c r="J31" s="75"/>
      <c r="K31" s="80"/>
      <c r="L31" s="69"/>
      <c r="M31" s="69"/>
      <c r="N31" s="69"/>
      <c r="O31" s="68"/>
      <c r="P31" s="68"/>
      <c r="Q31" s="68"/>
      <c r="R31" s="69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29" ht="18.75" customHeight="1">
      <c r="A32" s="81" t="s">
        <v>377</v>
      </c>
      <c r="B32" s="51">
        <v>801</v>
      </c>
      <c r="C32" s="52" t="s">
        <v>807</v>
      </c>
      <c r="D32" s="52" t="s">
        <v>810</v>
      </c>
      <c r="E32" s="52" t="s">
        <v>351</v>
      </c>
      <c r="F32" s="52" t="s">
        <v>212</v>
      </c>
      <c r="G32" s="40">
        <v>0.7</v>
      </c>
      <c r="H32" s="40">
        <v>0.7</v>
      </c>
      <c r="I32" s="40">
        <v>0.7</v>
      </c>
      <c r="J32" s="75"/>
      <c r="K32" s="80"/>
      <c r="L32" s="69"/>
      <c r="M32" s="69"/>
      <c r="N32" s="69"/>
      <c r="O32" s="68"/>
      <c r="P32" s="68"/>
      <c r="Q32" s="68"/>
      <c r="R32" s="69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18" customHeight="1">
      <c r="A33" s="81" t="s">
        <v>626</v>
      </c>
      <c r="B33" s="51">
        <v>801</v>
      </c>
      <c r="C33" s="52" t="s">
        <v>807</v>
      </c>
      <c r="D33" s="52" t="s">
        <v>59</v>
      </c>
      <c r="E33" s="52"/>
      <c r="F33" s="52"/>
      <c r="G33" s="40">
        <f aca="true" t="shared" si="2" ref="G33:I34">G34</f>
        <v>0</v>
      </c>
      <c r="H33" s="40">
        <f t="shared" si="2"/>
        <v>211.7</v>
      </c>
      <c r="I33" s="40">
        <f t="shared" si="2"/>
        <v>0</v>
      </c>
      <c r="J33" s="75"/>
      <c r="K33" s="68">
        <v>10</v>
      </c>
      <c r="L33" s="69">
        <f>G128+G236+G383+G666+G726+G627</f>
        <v>994874.9000000001</v>
      </c>
      <c r="M33" s="69">
        <f>H128+H236+H383+H666+H726+H627</f>
        <v>868260.5000000001</v>
      </c>
      <c r="N33" s="69">
        <f>I128+I236+I383+I666+I726+I627</f>
        <v>882787.7000000001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29" ht="52.5" customHeight="1">
      <c r="A34" s="81" t="s">
        <v>643</v>
      </c>
      <c r="B34" s="51">
        <v>801</v>
      </c>
      <c r="C34" s="52" t="s">
        <v>807</v>
      </c>
      <c r="D34" s="52" t="s">
        <v>59</v>
      </c>
      <c r="E34" s="52" t="s">
        <v>326</v>
      </c>
      <c r="F34" s="52"/>
      <c r="G34" s="40">
        <f t="shared" si="2"/>
        <v>0</v>
      </c>
      <c r="H34" s="40">
        <f t="shared" si="2"/>
        <v>211.7</v>
      </c>
      <c r="I34" s="40">
        <f t="shared" si="2"/>
        <v>0</v>
      </c>
      <c r="J34" s="75"/>
      <c r="K34" s="68">
        <v>11</v>
      </c>
      <c r="L34" s="69">
        <f>G672</f>
        <v>286181.5</v>
      </c>
      <c r="M34" s="69">
        <f>H672</f>
        <v>277429.80000000005</v>
      </c>
      <c r="N34" s="69">
        <f>I672</f>
        <v>283773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1:29" ht="20.25" customHeight="1">
      <c r="A35" s="81" t="s">
        <v>377</v>
      </c>
      <c r="B35" s="51">
        <v>801</v>
      </c>
      <c r="C35" s="52" t="s">
        <v>807</v>
      </c>
      <c r="D35" s="52" t="s">
        <v>59</v>
      </c>
      <c r="E35" s="52" t="s">
        <v>326</v>
      </c>
      <c r="F35" s="52" t="s">
        <v>212</v>
      </c>
      <c r="G35" s="40"/>
      <c r="H35" s="40">
        <v>211.7</v>
      </c>
      <c r="I35" s="40"/>
      <c r="J35" s="75"/>
      <c r="K35" s="68">
        <v>12</v>
      </c>
      <c r="L35" s="69">
        <f>G146</f>
        <v>32768.4</v>
      </c>
      <c r="M35" s="69">
        <f>H146</f>
        <v>30141.7</v>
      </c>
      <c r="N35" s="69">
        <f>I146</f>
        <v>30286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spans="1:29" ht="20.25" customHeight="1" hidden="1">
      <c r="A36" s="50" t="s">
        <v>538</v>
      </c>
      <c r="B36" s="51">
        <v>801</v>
      </c>
      <c r="C36" s="83" t="s">
        <v>807</v>
      </c>
      <c r="D36" s="52" t="s">
        <v>529</v>
      </c>
      <c r="E36" s="52"/>
      <c r="F36" s="52"/>
      <c r="G36" s="40">
        <f>G37</f>
        <v>2005.6</v>
      </c>
      <c r="H36" s="146"/>
      <c r="I36" s="40">
        <f aca="true" t="shared" si="3" ref="G36:I38">I37</f>
        <v>0</v>
      </c>
      <c r="J36" s="75"/>
      <c r="K36" s="68">
        <v>13</v>
      </c>
      <c r="L36" s="69">
        <f>G534</f>
        <v>26875</v>
      </c>
      <c r="M36" s="69">
        <f>H534</f>
        <v>17690</v>
      </c>
      <c r="N36" s="69">
        <f>I534</f>
        <v>7893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</row>
    <row r="37" spans="1:29" ht="20.25" customHeight="1" hidden="1">
      <c r="A37" s="84" t="s">
        <v>646</v>
      </c>
      <c r="B37" s="51">
        <v>801</v>
      </c>
      <c r="C37" s="83" t="s">
        <v>807</v>
      </c>
      <c r="D37" s="52" t="s">
        <v>529</v>
      </c>
      <c r="E37" s="52" t="s">
        <v>27</v>
      </c>
      <c r="F37" s="52"/>
      <c r="G37" s="40">
        <f t="shared" si="3"/>
        <v>2005.6</v>
      </c>
      <c r="H37" s="40">
        <f t="shared" si="3"/>
        <v>0</v>
      </c>
      <c r="I37" s="40">
        <f t="shared" si="3"/>
        <v>0</v>
      </c>
      <c r="J37" s="75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ht="39.75" customHeight="1" hidden="1">
      <c r="A38" s="81" t="s">
        <v>25</v>
      </c>
      <c r="B38" s="51">
        <v>801</v>
      </c>
      <c r="C38" s="83" t="s">
        <v>807</v>
      </c>
      <c r="D38" s="52" t="s">
        <v>529</v>
      </c>
      <c r="E38" s="52" t="s">
        <v>26</v>
      </c>
      <c r="F38" s="52"/>
      <c r="G38" s="40">
        <f t="shared" si="3"/>
        <v>2005.6</v>
      </c>
      <c r="H38" s="40">
        <f t="shared" si="3"/>
        <v>0</v>
      </c>
      <c r="I38" s="40">
        <f t="shared" si="3"/>
        <v>0</v>
      </c>
      <c r="J38" s="75"/>
      <c r="K38" s="68"/>
      <c r="L38" s="69">
        <f>SUM(L18:L37)</f>
        <v>5997705.400000001</v>
      </c>
      <c r="M38" s="69">
        <f>SUM(M18:M37)</f>
        <v>5170957.800000001</v>
      </c>
      <c r="N38" s="69">
        <f>SUM(N18:N37)</f>
        <v>4832155.399999999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20.25" customHeight="1" hidden="1">
      <c r="A39" s="81" t="s">
        <v>361</v>
      </c>
      <c r="B39" s="51">
        <v>801</v>
      </c>
      <c r="C39" s="83" t="s">
        <v>807</v>
      </c>
      <c r="D39" s="52" t="s">
        <v>529</v>
      </c>
      <c r="E39" s="52" t="s">
        <v>45</v>
      </c>
      <c r="F39" s="52" t="s">
        <v>214</v>
      </c>
      <c r="G39" s="40">
        <f>1802+203.6</f>
        <v>2005.6</v>
      </c>
      <c r="H39" s="40"/>
      <c r="I39" s="40"/>
      <c r="J39" s="75"/>
      <c r="K39" s="68"/>
      <c r="L39" s="68"/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1:29" ht="18.75" customHeight="1">
      <c r="A40" s="85" t="s">
        <v>327</v>
      </c>
      <c r="B40" s="51">
        <v>801</v>
      </c>
      <c r="C40" s="52" t="s">
        <v>807</v>
      </c>
      <c r="D40" s="52" t="s">
        <v>508</v>
      </c>
      <c r="E40" s="52"/>
      <c r="F40" s="52"/>
      <c r="G40" s="40">
        <f>G41+G47+G61+G52</f>
        <v>102387.7</v>
      </c>
      <c r="H40" s="40">
        <f>H41+H47+H61+H52</f>
        <v>81986.6</v>
      </c>
      <c r="I40" s="40">
        <f>I41+I47+I61+I52</f>
        <v>85567.7</v>
      </c>
      <c r="J40" s="75"/>
      <c r="K40" s="68"/>
      <c r="L40" s="68"/>
      <c r="M40" s="69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19.5" customHeight="1">
      <c r="A41" s="86" t="s">
        <v>20</v>
      </c>
      <c r="B41" s="51">
        <v>801</v>
      </c>
      <c r="C41" s="52" t="s">
        <v>807</v>
      </c>
      <c r="D41" s="52" t="s">
        <v>508</v>
      </c>
      <c r="E41" s="52" t="s">
        <v>357</v>
      </c>
      <c r="F41" s="52"/>
      <c r="G41" s="40">
        <f>G42+G45</f>
        <v>91541.5</v>
      </c>
      <c r="H41" s="40">
        <f>H42+H45</f>
        <v>71171.8</v>
      </c>
      <c r="I41" s="40">
        <f>I42+I45</f>
        <v>74235.5</v>
      </c>
      <c r="J41" s="75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 ht="20.25" customHeight="1">
      <c r="A42" s="81" t="s">
        <v>21</v>
      </c>
      <c r="B42" s="51">
        <v>801</v>
      </c>
      <c r="C42" s="52" t="s">
        <v>807</v>
      </c>
      <c r="D42" s="52" t="s">
        <v>508</v>
      </c>
      <c r="E42" s="52" t="s">
        <v>413</v>
      </c>
      <c r="F42" s="52"/>
      <c r="G42" s="40">
        <f>SUM(G43:G44)</f>
        <v>5728.5</v>
      </c>
      <c r="H42" s="40">
        <f>SUM(H43:H44)</f>
        <v>177.5</v>
      </c>
      <c r="I42" s="40">
        <f>SUM(I43:I44)</f>
        <v>177.5</v>
      </c>
      <c r="J42" s="75"/>
      <c r="K42" s="68"/>
      <c r="L42" s="68"/>
      <c r="M42" s="69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ht="20.25" customHeight="1" hidden="1">
      <c r="A43" s="85" t="s">
        <v>668</v>
      </c>
      <c r="B43" s="51">
        <v>801</v>
      </c>
      <c r="C43" s="52" t="s">
        <v>807</v>
      </c>
      <c r="D43" s="52" t="s">
        <v>508</v>
      </c>
      <c r="E43" s="52" t="s">
        <v>413</v>
      </c>
      <c r="F43" s="52" t="s">
        <v>257</v>
      </c>
      <c r="G43" s="40">
        <v>700</v>
      </c>
      <c r="H43" s="40"/>
      <c r="I43" s="40"/>
      <c r="J43" s="75"/>
      <c r="K43" s="68"/>
      <c r="L43" s="68"/>
      <c r="M43" s="69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ht="20.25" customHeight="1">
      <c r="A44" s="82" t="s">
        <v>361</v>
      </c>
      <c r="B44" s="51">
        <v>801</v>
      </c>
      <c r="C44" s="52" t="s">
        <v>807</v>
      </c>
      <c r="D44" s="52" t="s">
        <v>508</v>
      </c>
      <c r="E44" s="52" t="s">
        <v>413</v>
      </c>
      <c r="F44" s="52" t="s">
        <v>214</v>
      </c>
      <c r="G44" s="40">
        <f>9069.1-700-203.6+363-3500</f>
        <v>5028.5</v>
      </c>
      <c r="H44" s="40">
        <v>177.5</v>
      </c>
      <c r="I44" s="40">
        <v>177.5</v>
      </c>
      <c r="J44" s="75"/>
      <c r="K44" s="68"/>
      <c r="L44" s="68"/>
      <c r="M44" s="69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</row>
    <row r="45" spans="1:29" ht="20.25" customHeight="1">
      <c r="A45" s="85" t="s">
        <v>566</v>
      </c>
      <c r="B45" s="51">
        <v>801</v>
      </c>
      <c r="C45" s="52" t="s">
        <v>807</v>
      </c>
      <c r="D45" s="52" t="s">
        <v>508</v>
      </c>
      <c r="E45" s="52" t="s">
        <v>574</v>
      </c>
      <c r="F45" s="52"/>
      <c r="G45" s="40">
        <f>SUM(G46)</f>
        <v>85813</v>
      </c>
      <c r="H45" s="40">
        <f>SUM(H46)</f>
        <v>70994.3</v>
      </c>
      <c r="I45" s="40">
        <f>SUM(I46)</f>
        <v>74058</v>
      </c>
      <c r="J45" s="75"/>
      <c r="K45" s="68"/>
      <c r="L45" s="68"/>
      <c r="M45" s="69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ht="20.25" customHeight="1">
      <c r="A46" s="81" t="s">
        <v>13</v>
      </c>
      <c r="B46" s="51">
        <v>801</v>
      </c>
      <c r="C46" s="52" t="s">
        <v>807</v>
      </c>
      <c r="D46" s="52" t="s">
        <v>508</v>
      </c>
      <c r="E46" s="52" t="s">
        <v>574</v>
      </c>
      <c r="F46" s="52" t="s">
        <v>572</v>
      </c>
      <c r="G46" s="40">
        <v>85813</v>
      </c>
      <c r="H46" s="40">
        <v>70994.3</v>
      </c>
      <c r="I46" s="40">
        <v>74058</v>
      </c>
      <c r="J46" s="75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ht="20.25" customHeight="1">
      <c r="A47" s="81" t="s">
        <v>652</v>
      </c>
      <c r="B47" s="51">
        <v>801</v>
      </c>
      <c r="C47" s="52" t="s">
        <v>807</v>
      </c>
      <c r="D47" s="52" t="s">
        <v>508</v>
      </c>
      <c r="E47" s="87" t="s">
        <v>160</v>
      </c>
      <c r="F47" s="87"/>
      <c r="G47" s="40">
        <f>G48+G50</f>
        <v>7905.5</v>
      </c>
      <c r="H47" s="40">
        <f>H48+H50</f>
        <v>7923.5</v>
      </c>
      <c r="I47" s="40">
        <f>I48+I50</f>
        <v>8120.9</v>
      </c>
      <c r="J47" s="75"/>
      <c r="K47" s="68"/>
      <c r="L47" s="68"/>
      <c r="M47" s="69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ht="20.25" customHeight="1">
      <c r="A48" s="85" t="s">
        <v>593</v>
      </c>
      <c r="B48" s="51">
        <v>801</v>
      </c>
      <c r="C48" s="52" t="s">
        <v>807</v>
      </c>
      <c r="D48" s="52" t="s">
        <v>508</v>
      </c>
      <c r="E48" s="87" t="s">
        <v>505</v>
      </c>
      <c r="F48" s="87"/>
      <c r="G48" s="40">
        <f>SUM(G49)</f>
        <v>111.7</v>
      </c>
      <c r="H48" s="40">
        <f>SUM(H49)</f>
        <v>111.7</v>
      </c>
      <c r="I48" s="40">
        <f>SUM(I49)</f>
        <v>111.7</v>
      </c>
      <c r="J48" s="75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ht="20.25" customHeight="1">
      <c r="A49" s="81" t="s">
        <v>13</v>
      </c>
      <c r="B49" s="51">
        <v>801</v>
      </c>
      <c r="C49" s="52" t="s">
        <v>807</v>
      </c>
      <c r="D49" s="52" t="s">
        <v>508</v>
      </c>
      <c r="E49" s="87" t="s">
        <v>505</v>
      </c>
      <c r="F49" s="52" t="s">
        <v>572</v>
      </c>
      <c r="G49" s="40">
        <v>111.7</v>
      </c>
      <c r="H49" s="40">
        <v>111.7</v>
      </c>
      <c r="I49" s="40">
        <v>111.7</v>
      </c>
      <c r="J49" s="75"/>
      <c r="K49" s="68"/>
      <c r="L49" s="68"/>
      <c r="M49" s="69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1:29" ht="20.25" customHeight="1">
      <c r="A50" s="85" t="s">
        <v>566</v>
      </c>
      <c r="B50" s="51">
        <v>801</v>
      </c>
      <c r="C50" s="52" t="s">
        <v>807</v>
      </c>
      <c r="D50" s="52" t="s">
        <v>508</v>
      </c>
      <c r="E50" s="52" t="s">
        <v>161</v>
      </c>
      <c r="F50" s="52"/>
      <c r="G50" s="40">
        <f>SUM(G51)</f>
        <v>7793.8</v>
      </c>
      <c r="H50" s="40">
        <f>SUM(H51)</f>
        <v>7811.8</v>
      </c>
      <c r="I50" s="40">
        <f>SUM(I51)</f>
        <v>8009.2</v>
      </c>
      <c r="J50" s="75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 ht="20.25" customHeight="1">
      <c r="A51" s="81" t="s">
        <v>13</v>
      </c>
      <c r="B51" s="51">
        <v>801</v>
      </c>
      <c r="C51" s="52" t="s">
        <v>807</v>
      </c>
      <c r="D51" s="52" t="s">
        <v>508</v>
      </c>
      <c r="E51" s="52" t="s">
        <v>161</v>
      </c>
      <c r="F51" s="52" t="s">
        <v>572</v>
      </c>
      <c r="G51" s="40">
        <v>7793.8</v>
      </c>
      <c r="H51" s="40">
        <v>7811.8</v>
      </c>
      <c r="I51" s="40">
        <v>8009.2</v>
      </c>
      <c r="J51" s="75"/>
      <c r="K51" s="68"/>
      <c r="L51" s="68"/>
      <c r="M51" s="69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 ht="20.25" customHeight="1">
      <c r="A52" s="82" t="s">
        <v>653</v>
      </c>
      <c r="B52" s="51">
        <v>801</v>
      </c>
      <c r="C52" s="52" t="s">
        <v>807</v>
      </c>
      <c r="D52" s="52" t="s">
        <v>508</v>
      </c>
      <c r="E52" s="52" t="s">
        <v>30</v>
      </c>
      <c r="F52" s="52"/>
      <c r="G52" s="40">
        <f>G53+G55+G57+G60</f>
        <v>838.2</v>
      </c>
      <c r="H52" s="40">
        <f>H53+H55+H57+H60</f>
        <v>796.3</v>
      </c>
      <c r="I52" s="40">
        <f>I53+I55+I57+I60</f>
        <v>796.3</v>
      </c>
      <c r="J52" s="75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36" customHeight="1" hidden="1">
      <c r="A53" s="82" t="s">
        <v>654</v>
      </c>
      <c r="B53" s="51">
        <v>801</v>
      </c>
      <c r="C53" s="52" t="s">
        <v>807</v>
      </c>
      <c r="D53" s="52" t="s">
        <v>508</v>
      </c>
      <c r="E53" s="52" t="s">
        <v>349</v>
      </c>
      <c r="F53" s="52"/>
      <c r="G53" s="40">
        <f>G54</f>
        <v>0</v>
      </c>
      <c r="H53" s="40">
        <f>H54</f>
        <v>0</v>
      </c>
      <c r="I53" s="40">
        <f>I54</f>
        <v>0</v>
      </c>
      <c r="J53" s="75"/>
      <c r="K53" s="68"/>
      <c r="L53" s="68"/>
      <c r="M53" s="69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20.25" customHeight="1" hidden="1">
      <c r="A54" s="81" t="s">
        <v>377</v>
      </c>
      <c r="B54" s="51">
        <v>801</v>
      </c>
      <c r="C54" s="52" t="s">
        <v>807</v>
      </c>
      <c r="D54" s="52" t="s">
        <v>508</v>
      </c>
      <c r="E54" s="52" t="s">
        <v>349</v>
      </c>
      <c r="F54" s="52" t="s">
        <v>212</v>
      </c>
      <c r="G54" s="40"/>
      <c r="H54" s="40"/>
      <c r="I54" s="40"/>
      <c r="J54" s="75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8.75" customHeight="1">
      <c r="A55" s="82" t="s">
        <v>604</v>
      </c>
      <c r="B55" s="51">
        <v>801</v>
      </c>
      <c r="C55" s="52" t="s">
        <v>807</v>
      </c>
      <c r="D55" s="52" t="s">
        <v>508</v>
      </c>
      <c r="E55" s="52" t="s">
        <v>347</v>
      </c>
      <c r="F55" s="52"/>
      <c r="G55" s="40">
        <f>G56</f>
        <v>838.2</v>
      </c>
      <c r="H55" s="40">
        <f>H56</f>
        <v>796.3</v>
      </c>
      <c r="I55" s="40">
        <f>I56</f>
        <v>796.3</v>
      </c>
      <c r="J55" s="75"/>
      <c r="K55" s="68"/>
      <c r="L55" s="68"/>
      <c r="M55" s="69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ht="20.25" customHeight="1">
      <c r="A56" s="81" t="s">
        <v>13</v>
      </c>
      <c r="B56" s="51">
        <v>801</v>
      </c>
      <c r="C56" s="52" t="s">
        <v>807</v>
      </c>
      <c r="D56" s="52" t="s">
        <v>508</v>
      </c>
      <c r="E56" s="52" t="s">
        <v>347</v>
      </c>
      <c r="F56" s="52" t="s">
        <v>572</v>
      </c>
      <c r="G56" s="40">
        <v>838.2</v>
      </c>
      <c r="H56" s="40">
        <v>796.3</v>
      </c>
      <c r="I56" s="40">
        <v>796.3</v>
      </c>
      <c r="J56" s="75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1:29" ht="33.75" customHeight="1" hidden="1">
      <c r="A57" s="81" t="s">
        <v>655</v>
      </c>
      <c r="B57" s="51">
        <v>801</v>
      </c>
      <c r="C57" s="52" t="s">
        <v>807</v>
      </c>
      <c r="D57" s="52" t="s">
        <v>508</v>
      </c>
      <c r="E57" s="52" t="s">
        <v>350</v>
      </c>
      <c r="F57" s="52"/>
      <c r="G57" s="40">
        <f>G58</f>
        <v>0</v>
      </c>
      <c r="H57" s="40">
        <f>H58</f>
        <v>0</v>
      </c>
      <c r="I57" s="40">
        <f>I58</f>
        <v>0</v>
      </c>
      <c r="J57" s="75"/>
      <c r="K57" s="68"/>
      <c r="L57" s="68"/>
      <c r="M57" s="69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 ht="20.25" customHeight="1" hidden="1">
      <c r="A58" s="81" t="s">
        <v>377</v>
      </c>
      <c r="B58" s="51">
        <v>801</v>
      </c>
      <c r="C58" s="52" t="s">
        <v>807</v>
      </c>
      <c r="D58" s="52" t="s">
        <v>508</v>
      </c>
      <c r="E58" s="52" t="s">
        <v>350</v>
      </c>
      <c r="F58" s="52" t="s">
        <v>212</v>
      </c>
      <c r="G58" s="40"/>
      <c r="H58" s="40"/>
      <c r="I58" s="40"/>
      <c r="J58" s="75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71.25" customHeight="1" hidden="1">
      <c r="A59" s="81" t="s">
        <v>656</v>
      </c>
      <c r="B59" s="51">
        <v>801</v>
      </c>
      <c r="C59" s="52" t="s">
        <v>807</v>
      </c>
      <c r="D59" s="52" t="s">
        <v>508</v>
      </c>
      <c r="E59" s="52" t="s">
        <v>351</v>
      </c>
      <c r="F59" s="52"/>
      <c r="G59" s="40">
        <f>G60</f>
        <v>0</v>
      </c>
      <c r="H59" s="40">
        <f>H60</f>
        <v>0</v>
      </c>
      <c r="I59" s="40">
        <f>I60</f>
        <v>0</v>
      </c>
      <c r="J59" s="75"/>
      <c r="K59" s="68"/>
      <c r="L59" s="68"/>
      <c r="M59" s="69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ht="20.25" customHeight="1" hidden="1">
      <c r="A60" s="81" t="s">
        <v>377</v>
      </c>
      <c r="B60" s="51">
        <v>801</v>
      </c>
      <c r="C60" s="52" t="s">
        <v>807</v>
      </c>
      <c r="D60" s="52" t="s">
        <v>508</v>
      </c>
      <c r="E60" s="52" t="s">
        <v>351</v>
      </c>
      <c r="F60" s="52" t="s">
        <v>212</v>
      </c>
      <c r="G60" s="40"/>
      <c r="H60" s="40"/>
      <c r="I60" s="40"/>
      <c r="J60" s="75"/>
      <c r="K60" s="68"/>
      <c r="L60" s="68"/>
      <c r="M60" s="69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 ht="18.75" customHeight="1">
      <c r="A61" s="86" t="s">
        <v>364</v>
      </c>
      <c r="B61" s="51">
        <v>801</v>
      </c>
      <c r="C61" s="52" t="s">
        <v>807</v>
      </c>
      <c r="D61" s="52" t="s">
        <v>508</v>
      </c>
      <c r="E61" s="52" t="s">
        <v>358</v>
      </c>
      <c r="F61" s="52"/>
      <c r="G61" s="40">
        <f>G62</f>
        <v>2102.5</v>
      </c>
      <c r="H61" s="40">
        <f>H62</f>
        <v>2095</v>
      </c>
      <c r="I61" s="40">
        <f>I62</f>
        <v>2415</v>
      </c>
      <c r="J61" s="75"/>
      <c r="K61" s="68"/>
      <c r="L61" s="68"/>
      <c r="M61" s="69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 ht="18.75" customHeight="1">
      <c r="A62" s="86" t="s">
        <v>394</v>
      </c>
      <c r="B62" s="51">
        <v>801</v>
      </c>
      <c r="C62" s="52" t="s">
        <v>807</v>
      </c>
      <c r="D62" s="52" t="s">
        <v>508</v>
      </c>
      <c r="E62" s="52" t="s">
        <v>359</v>
      </c>
      <c r="F62" s="52"/>
      <c r="G62" s="40">
        <f>G63+G65</f>
        <v>2102.5</v>
      </c>
      <c r="H62" s="40">
        <f>H63+H65</f>
        <v>2095</v>
      </c>
      <c r="I62" s="40">
        <f>I63+I65</f>
        <v>2415</v>
      </c>
      <c r="J62" s="75"/>
      <c r="K62" s="68"/>
      <c r="L62" s="68"/>
      <c r="M62" s="69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29" ht="21.75" customHeight="1">
      <c r="A63" s="85" t="s">
        <v>216</v>
      </c>
      <c r="B63" s="51">
        <v>801</v>
      </c>
      <c r="C63" s="52" t="s">
        <v>807</v>
      </c>
      <c r="D63" s="52" t="s">
        <v>508</v>
      </c>
      <c r="E63" s="52" t="s">
        <v>369</v>
      </c>
      <c r="F63" s="52"/>
      <c r="G63" s="40">
        <f>SUM(G64)</f>
        <v>1934.5</v>
      </c>
      <c r="H63" s="40">
        <f>SUM(H64)</f>
        <v>2095</v>
      </c>
      <c r="I63" s="40">
        <f>SUM(I64)</f>
        <v>2415</v>
      </c>
      <c r="J63" s="75"/>
      <c r="K63" s="68"/>
      <c r="L63" s="68"/>
      <c r="M63" s="69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 ht="21" customHeight="1">
      <c r="A64" s="82" t="s">
        <v>361</v>
      </c>
      <c r="B64" s="51">
        <v>801</v>
      </c>
      <c r="C64" s="52" t="s">
        <v>807</v>
      </c>
      <c r="D64" s="52" t="s">
        <v>508</v>
      </c>
      <c r="E64" s="52" t="s">
        <v>369</v>
      </c>
      <c r="F64" s="52" t="s">
        <v>214</v>
      </c>
      <c r="G64" s="40">
        <v>1934.5</v>
      </c>
      <c r="H64" s="40">
        <v>2095</v>
      </c>
      <c r="I64" s="40">
        <v>2415</v>
      </c>
      <c r="J64" s="75"/>
      <c r="K64" s="68"/>
      <c r="L64" s="68"/>
      <c r="M64" s="69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1:29" ht="21" customHeight="1" hidden="1">
      <c r="A65" s="82" t="s">
        <v>375</v>
      </c>
      <c r="B65" s="51">
        <v>801</v>
      </c>
      <c r="C65" s="52" t="s">
        <v>807</v>
      </c>
      <c r="D65" s="52" t="s">
        <v>508</v>
      </c>
      <c r="E65" s="52" t="s">
        <v>373</v>
      </c>
      <c r="F65" s="52"/>
      <c r="G65" s="40">
        <f>G66</f>
        <v>168</v>
      </c>
      <c r="H65" s="40">
        <f>H66</f>
        <v>0</v>
      </c>
      <c r="I65" s="40">
        <f>I66</f>
        <v>0</v>
      </c>
      <c r="J65" s="75"/>
      <c r="K65" s="68"/>
      <c r="L65" s="68"/>
      <c r="M65" s="69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1:29" ht="21" customHeight="1" hidden="1">
      <c r="A66" s="82" t="s">
        <v>361</v>
      </c>
      <c r="B66" s="51">
        <v>801</v>
      </c>
      <c r="C66" s="52" t="s">
        <v>807</v>
      </c>
      <c r="D66" s="52" t="s">
        <v>508</v>
      </c>
      <c r="E66" s="52" t="s">
        <v>373</v>
      </c>
      <c r="F66" s="52" t="s">
        <v>214</v>
      </c>
      <c r="G66" s="40">
        <v>168</v>
      </c>
      <c r="H66" s="40"/>
      <c r="I66" s="40"/>
      <c r="J66" s="75"/>
      <c r="K66" s="68"/>
      <c r="L66" s="68"/>
      <c r="M66" s="69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29" ht="21" customHeight="1">
      <c r="A67" s="81" t="s">
        <v>328</v>
      </c>
      <c r="B67" s="51">
        <v>801</v>
      </c>
      <c r="C67" s="52" t="s">
        <v>809</v>
      </c>
      <c r="D67" s="52"/>
      <c r="E67" s="52"/>
      <c r="F67" s="52"/>
      <c r="G67" s="40">
        <f>G68+G78</f>
        <v>37541</v>
      </c>
      <c r="H67" s="40">
        <f>H68+H78</f>
        <v>34949</v>
      </c>
      <c r="I67" s="40">
        <f>I68+I78</f>
        <v>35379.4</v>
      </c>
      <c r="J67" s="75"/>
      <c r="K67" s="68"/>
      <c r="L67" s="68"/>
      <c r="M67" s="69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  <row r="68" spans="1:29" ht="38.25" customHeight="1">
      <c r="A68" s="85" t="s">
        <v>660</v>
      </c>
      <c r="B68" s="51">
        <v>801</v>
      </c>
      <c r="C68" s="52" t="s">
        <v>809</v>
      </c>
      <c r="D68" s="52" t="s">
        <v>57</v>
      </c>
      <c r="E68" s="87"/>
      <c r="F68" s="87"/>
      <c r="G68" s="40">
        <f>G69+G74</f>
        <v>37541</v>
      </c>
      <c r="H68" s="40">
        <f>H69+H74</f>
        <v>34949</v>
      </c>
      <c r="I68" s="40">
        <f>I69+I74</f>
        <v>35379.4</v>
      </c>
      <c r="J68" s="75"/>
      <c r="K68" s="68"/>
      <c r="L68" s="68"/>
      <c r="M68" s="69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</row>
    <row r="69" spans="1:29" ht="20.25" customHeight="1">
      <c r="A69" s="85" t="s">
        <v>661</v>
      </c>
      <c r="B69" s="51">
        <v>801</v>
      </c>
      <c r="C69" s="52" t="s">
        <v>809</v>
      </c>
      <c r="D69" s="52" t="s">
        <v>57</v>
      </c>
      <c r="E69" s="52" t="s">
        <v>402</v>
      </c>
      <c r="F69" s="52"/>
      <c r="G69" s="40">
        <f>G70+G72</f>
        <v>37262.6</v>
      </c>
      <c r="H69" s="40">
        <f>H70+H72</f>
        <v>34713</v>
      </c>
      <c r="I69" s="40">
        <f>I70+I72</f>
        <v>35020.4</v>
      </c>
      <c r="J69" s="75"/>
      <c r="K69" s="68"/>
      <c r="L69" s="68"/>
      <c r="M69" s="69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1:29" ht="21" customHeight="1">
      <c r="A70" s="85" t="s">
        <v>593</v>
      </c>
      <c r="B70" s="51">
        <v>801</v>
      </c>
      <c r="C70" s="52" t="s">
        <v>809</v>
      </c>
      <c r="D70" s="52" t="s">
        <v>57</v>
      </c>
      <c r="E70" s="52" t="s">
        <v>495</v>
      </c>
      <c r="F70" s="52"/>
      <c r="G70" s="40">
        <f>SUM(G71)</f>
        <v>370.9</v>
      </c>
      <c r="H70" s="40">
        <f>SUM(H71)</f>
        <v>370.9</v>
      </c>
      <c r="I70" s="40">
        <f>SUM(I71)</f>
        <v>370.9</v>
      </c>
      <c r="J70" s="75"/>
      <c r="K70" s="68"/>
      <c r="L70" s="68"/>
      <c r="M70" s="69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1:29" ht="21" customHeight="1">
      <c r="A71" s="81" t="s">
        <v>13</v>
      </c>
      <c r="B71" s="51">
        <v>801</v>
      </c>
      <c r="C71" s="52" t="s">
        <v>809</v>
      </c>
      <c r="D71" s="52" t="s">
        <v>57</v>
      </c>
      <c r="E71" s="52" t="s">
        <v>495</v>
      </c>
      <c r="F71" s="52" t="s">
        <v>572</v>
      </c>
      <c r="G71" s="40">
        <v>370.9</v>
      </c>
      <c r="H71" s="40">
        <v>370.9</v>
      </c>
      <c r="I71" s="40">
        <v>370.9</v>
      </c>
      <c r="J71" s="75"/>
      <c r="K71" s="68"/>
      <c r="L71" s="68"/>
      <c r="M71" s="69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1:29" ht="21" customHeight="1">
      <c r="A72" s="85" t="s">
        <v>566</v>
      </c>
      <c r="B72" s="51">
        <v>801</v>
      </c>
      <c r="C72" s="52" t="s">
        <v>809</v>
      </c>
      <c r="D72" s="52" t="s">
        <v>57</v>
      </c>
      <c r="E72" s="52" t="s">
        <v>401</v>
      </c>
      <c r="F72" s="52"/>
      <c r="G72" s="40">
        <f>SUM(G73)</f>
        <v>36891.7</v>
      </c>
      <c r="H72" s="40">
        <f>SUM(H73)</f>
        <v>34342.1</v>
      </c>
      <c r="I72" s="40">
        <f>SUM(I73)</f>
        <v>34649.5</v>
      </c>
      <c r="J72" s="75"/>
      <c r="K72" s="68"/>
      <c r="L72" s="68"/>
      <c r="M72" s="69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1:29" ht="21" customHeight="1">
      <c r="A73" s="81" t="s">
        <v>13</v>
      </c>
      <c r="B73" s="51">
        <v>801</v>
      </c>
      <c r="C73" s="52" t="s">
        <v>809</v>
      </c>
      <c r="D73" s="52" t="s">
        <v>57</v>
      </c>
      <c r="E73" s="52" t="s">
        <v>401</v>
      </c>
      <c r="F73" s="52" t="s">
        <v>572</v>
      </c>
      <c r="G73" s="40">
        <v>36891.7</v>
      </c>
      <c r="H73" s="40">
        <v>34342.1</v>
      </c>
      <c r="I73" s="40">
        <v>34649.5</v>
      </c>
      <c r="J73" s="75"/>
      <c r="K73" s="68"/>
      <c r="L73" s="68"/>
      <c r="M73" s="69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1:29" ht="18.75" customHeight="1">
      <c r="A74" s="85" t="s">
        <v>364</v>
      </c>
      <c r="B74" s="51">
        <v>801</v>
      </c>
      <c r="C74" s="52" t="s">
        <v>809</v>
      </c>
      <c r="D74" s="52" t="s">
        <v>57</v>
      </c>
      <c r="E74" s="83" t="s">
        <v>358</v>
      </c>
      <c r="F74" s="52"/>
      <c r="G74" s="40">
        <f>G76</f>
        <v>278.4</v>
      </c>
      <c r="H74" s="40">
        <f>H76</f>
        <v>236</v>
      </c>
      <c r="I74" s="40">
        <f>I76</f>
        <v>359</v>
      </c>
      <c r="J74" s="75"/>
      <c r="K74" s="68"/>
      <c r="L74" s="68"/>
      <c r="M74" s="69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</row>
    <row r="75" spans="1:29" ht="18.75" customHeight="1">
      <c r="A75" s="85" t="s">
        <v>397</v>
      </c>
      <c r="B75" s="51">
        <v>801</v>
      </c>
      <c r="C75" s="52" t="s">
        <v>809</v>
      </c>
      <c r="D75" s="52" t="s">
        <v>57</v>
      </c>
      <c r="E75" s="83" t="s">
        <v>359</v>
      </c>
      <c r="F75" s="52"/>
      <c r="G75" s="40">
        <f aca="true" t="shared" si="4" ref="G75:I76">G76</f>
        <v>278.4</v>
      </c>
      <c r="H75" s="40">
        <f t="shared" si="4"/>
        <v>236</v>
      </c>
      <c r="I75" s="40">
        <f t="shared" si="4"/>
        <v>359</v>
      </c>
      <c r="J75" s="75"/>
      <c r="K75" s="68"/>
      <c r="L75" s="68"/>
      <c r="M75" s="69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1:29" ht="20.25" customHeight="1">
      <c r="A76" s="85" t="s">
        <v>216</v>
      </c>
      <c r="B76" s="51">
        <v>801</v>
      </c>
      <c r="C76" s="52" t="s">
        <v>809</v>
      </c>
      <c r="D76" s="52" t="s">
        <v>57</v>
      </c>
      <c r="E76" s="52" t="s">
        <v>369</v>
      </c>
      <c r="F76" s="52"/>
      <c r="G76" s="40">
        <f t="shared" si="4"/>
        <v>278.4</v>
      </c>
      <c r="H76" s="40">
        <f t="shared" si="4"/>
        <v>236</v>
      </c>
      <c r="I76" s="40">
        <f t="shared" si="4"/>
        <v>359</v>
      </c>
      <c r="J76" s="75"/>
      <c r="K76" s="68"/>
      <c r="L76" s="68"/>
      <c r="M76" s="69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1:29" ht="20.25" customHeight="1">
      <c r="A77" s="81" t="s">
        <v>361</v>
      </c>
      <c r="B77" s="51">
        <v>801</v>
      </c>
      <c r="C77" s="52" t="s">
        <v>809</v>
      </c>
      <c r="D77" s="52" t="s">
        <v>57</v>
      </c>
      <c r="E77" s="52" t="s">
        <v>369</v>
      </c>
      <c r="F77" s="52" t="s">
        <v>214</v>
      </c>
      <c r="G77" s="40">
        <v>278.4</v>
      </c>
      <c r="H77" s="40">
        <v>236</v>
      </c>
      <c r="I77" s="40">
        <v>359</v>
      </c>
      <c r="J77" s="75"/>
      <c r="K77" s="68"/>
      <c r="L77" s="68"/>
      <c r="M77" s="69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</row>
    <row r="78" spans="1:29" ht="18" customHeight="1" hidden="1">
      <c r="A78" s="50" t="s">
        <v>329</v>
      </c>
      <c r="B78" s="51">
        <v>801</v>
      </c>
      <c r="C78" s="52" t="s">
        <v>809</v>
      </c>
      <c r="D78" s="52" t="s">
        <v>571</v>
      </c>
      <c r="E78" s="52"/>
      <c r="F78" s="52"/>
      <c r="G78" s="40">
        <f aca="true" t="shared" si="5" ref="G78:I79">SUM(G79)</f>
        <v>0</v>
      </c>
      <c r="H78" s="40">
        <f t="shared" si="5"/>
        <v>0</v>
      </c>
      <c r="I78" s="40">
        <f t="shared" si="5"/>
        <v>0</v>
      </c>
      <c r="J78" s="75"/>
      <c r="K78" s="68"/>
      <c r="L78" s="68"/>
      <c r="M78" s="69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</row>
    <row r="79" spans="1:29" ht="36" customHeight="1" hidden="1">
      <c r="A79" s="50" t="s">
        <v>355</v>
      </c>
      <c r="B79" s="51">
        <v>801</v>
      </c>
      <c r="C79" s="52" t="s">
        <v>809</v>
      </c>
      <c r="D79" s="52" t="s">
        <v>571</v>
      </c>
      <c r="E79" s="52" t="s">
        <v>356</v>
      </c>
      <c r="F79" s="52"/>
      <c r="G79" s="40">
        <f t="shared" si="5"/>
        <v>0</v>
      </c>
      <c r="H79" s="40">
        <f t="shared" si="5"/>
        <v>0</v>
      </c>
      <c r="I79" s="40">
        <f t="shared" si="5"/>
        <v>0</v>
      </c>
      <c r="J79" s="75"/>
      <c r="K79" s="68"/>
      <c r="L79" s="68"/>
      <c r="M79" s="69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</row>
    <row r="80" spans="1:29" ht="21" customHeight="1" hidden="1">
      <c r="A80" s="82" t="s">
        <v>361</v>
      </c>
      <c r="B80" s="51">
        <v>801</v>
      </c>
      <c r="C80" s="52" t="s">
        <v>809</v>
      </c>
      <c r="D80" s="52" t="s">
        <v>571</v>
      </c>
      <c r="E80" s="52" t="s">
        <v>356</v>
      </c>
      <c r="F80" s="52" t="s">
        <v>214</v>
      </c>
      <c r="G80" s="40"/>
      <c r="H80" s="40"/>
      <c r="I80" s="40"/>
      <c r="J80" s="75"/>
      <c r="K80" s="68"/>
      <c r="L80" s="68"/>
      <c r="M80" s="69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</row>
    <row r="81" spans="1:29" ht="16.5">
      <c r="A81" s="82" t="s">
        <v>432</v>
      </c>
      <c r="B81" s="51">
        <v>801</v>
      </c>
      <c r="C81" s="52" t="s">
        <v>810</v>
      </c>
      <c r="D81" s="52"/>
      <c r="E81" s="52"/>
      <c r="F81" s="52"/>
      <c r="G81" s="40">
        <f>G91+G95+G82</f>
        <v>61180.8</v>
      </c>
      <c r="H81" s="40">
        <f>H91+H95+H82</f>
        <v>51845.1</v>
      </c>
      <c r="I81" s="40">
        <f>I91+I95+I82</f>
        <v>49376.9</v>
      </c>
      <c r="J81" s="75"/>
      <c r="K81" s="68"/>
      <c r="L81" s="68"/>
      <c r="M81" s="69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</row>
    <row r="82" spans="1:29" ht="16.5" hidden="1">
      <c r="A82" s="82" t="s">
        <v>662</v>
      </c>
      <c r="B82" s="51">
        <v>801</v>
      </c>
      <c r="C82" s="52" t="s">
        <v>810</v>
      </c>
      <c r="D82" s="52" t="s">
        <v>807</v>
      </c>
      <c r="E82" s="52"/>
      <c r="F82" s="52"/>
      <c r="G82" s="40">
        <f>G83+G88</f>
        <v>1418.3</v>
      </c>
      <c r="H82" s="40">
        <f>H83+H88</f>
        <v>0</v>
      </c>
      <c r="I82" s="40">
        <f>I83+I88</f>
        <v>0</v>
      </c>
      <c r="J82" s="75"/>
      <c r="K82" s="68"/>
      <c r="L82" s="68"/>
      <c r="M82" s="69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</row>
    <row r="83" spans="1:29" ht="16.5" hidden="1">
      <c r="A83" s="82" t="s">
        <v>775</v>
      </c>
      <c r="B83" s="51">
        <v>801</v>
      </c>
      <c r="C83" s="52" t="s">
        <v>810</v>
      </c>
      <c r="D83" s="52" t="s">
        <v>807</v>
      </c>
      <c r="E83" s="52" t="s">
        <v>774</v>
      </c>
      <c r="F83" s="52"/>
      <c r="G83" s="40">
        <f>G84+G86</f>
        <v>1418.3</v>
      </c>
      <c r="H83" s="40">
        <f>H84+H86</f>
        <v>0</v>
      </c>
      <c r="I83" s="40">
        <f>I84+I86</f>
        <v>0</v>
      </c>
      <c r="J83" s="75"/>
      <c r="K83" s="68"/>
      <c r="L83" s="68"/>
      <c r="M83" s="69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</row>
    <row r="84" spans="1:29" ht="18.75" customHeight="1" hidden="1">
      <c r="A84" s="82" t="s">
        <v>765</v>
      </c>
      <c r="B84" s="51">
        <v>801</v>
      </c>
      <c r="C84" s="52" t="s">
        <v>810</v>
      </c>
      <c r="D84" s="52" t="s">
        <v>807</v>
      </c>
      <c r="E84" s="52" t="s">
        <v>776</v>
      </c>
      <c r="F84" s="52"/>
      <c r="G84" s="40">
        <f>G85</f>
        <v>1418.3</v>
      </c>
      <c r="H84" s="40">
        <f>H85</f>
        <v>0</v>
      </c>
      <c r="I84" s="40">
        <f>I85</f>
        <v>0</v>
      </c>
      <c r="J84" s="75"/>
      <c r="K84" s="68"/>
      <c r="L84" s="68"/>
      <c r="M84" s="69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</row>
    <row r="85" spans="1:29" ht="16.5" hidden="1">
      <c r="A85" s="81" t="s">
        <v>13</v>
      </c>
      <c r="B85" s="51">
        <v>801</v>
      </c>
      <c r="C85" s="52" t="s">
        <v>810</v>
      </c>
      <c r="D85" s="52" t="s">
        <v>807</v>
      </c>
      <c r="E85" s="52" t="s">
        <v>776</v>
      </c>
      <c r="F85" s="52" t="s">
        <v>572</v>
      </c>
      <c r="G85" s="40">
        <v>1418.3</v>
      </c>
      <c r="H85" s="40"/>
      <c r="I85" s="40"/>
      <c r="J85" s="75"/>
      <c r="K85" s="68"/>
      <c r="L85" s="68"/>
      <c r="M85" s="69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</row>
    <row r="86" spans="1:29" ht="33" hidden="1">
      <c r="A86" s="81" t="s">
        <v>597</v>
      </c>
      <c r="B86" s="51">
        <v>801</v>
      </c>
      <c r="C86" s="52" t="s">
        <v>810</v>
      </c>
      <c r="D86" s="52" t="s">
        <v>807</v>
      </c>
      <c r="E86" s="52" t="s">
        <v>596</v>
      </c>
      <c r="F86" s="52"/>
      <c r="G86" s="40">
        <f>SUM(G87)</f>
        <v>0</v>
      </c>
      <c r="H86" s="40">
        <f>SUM(H87)</f>
        <v>0</v>
      </c>
      <c r="I86" s="40">
        <f>SUM(I87)</f>
        <v>0</v>
      </c>
      <c r="J86" s="75"/>
      <c r="K86" s="68"/>
      <c r="L86" s="68"/>
      <c r="M86" s="69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</row>
    <row r="87" spans="1:29" ht="16.5" hidden="1">
      <c r="A87" s="81" t="s">
        <v>13</v>
      </c>
      <c r="B87" s="51">
        <v>801</v>
      </c>
      <c r="C87" s="52" t="s">
        <v>810</v>
      </c>
      <c r="D87" s="52" t="s">
        <v>807</v>
      </c>
      <c r="E87" s="52" t="s">
        <v>596</v>
      </c>
      <c r="F87" s="52" t="s">
        <v>572</v>
      </c>
      <c r="G87" s="40"/>
      <c r="H87" s="40"/>
      <c r="I87" s="40"/>
      <c r="J87" s="75"/>
      <c r="K87" s="68"/>
      <c r="L87" s="68"/>
      <c r="M87" s="69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</row>
    <row r="88" spans="1:29" ht="16.5" hidden="1">
      <c r="A88" s="81" t="s">
        <v>297</v>
      </c>
      <c r="B88" s="51">
        <v>801</v>
      </c>
      <c r="C88" s="52" t="s">
        <v>810</v>
      </c>
      <c r="D88" s="52" t="s">
        <v>807</v>
      </c>
      <c r="E88" s="52" t="s">
        <v>395</v>
      </c>
      <c r="F88" s="52"/>
      <c r="G88" s="40">
        <f aca="true" t="shared" si="6" ref="G88:I89">SUM(G89)</f>
        <v>0</v>
      </c>
      <c r="H88" s="40">
        <f t="shared" si="6"/>
        <v>0</v>
      </c>
      <c r="I88" s="40">
        <f t="shared" si="6"/>
        <v>0</v>
      </c>
      <c r="J88" s="75"/>
      <c r="K88" s="68"/>
      <c r="L88" s="68"/>
      <c r="M88" s="69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</row>
    <row r="89" spans="1:29" ht="33" hidden="1">
      <c r="A89" s="81" t="s">
        <v>598</v>
      </c>
      <c r="B89" s="51">
        <v>801</v>
      </c>
      <c r="C89" s="52" t="s">
        <v>810</v>
      </c>
      <c r="D89" s="52" t="s">
        <v>807</v>
      </c>
      <c r="E89" s="52" t="s">
        <v>601</v>
      </c>
      <c r="F89" s="52"/>
      <c r="G89" s="40">
        <f t="shared" si="6"/>
        <v>0</v>
      </c>
      <c r="H89" s="40">
        <f t="shared" si="6"/>
        <v>0</v>
      </c>
      <c r="I89" s="40">
        <f t="shared" si="6"/>
        <v>0</v>
      </c>
      <c r="J89" s="75"/>
      <c r="K89" s="68"/>
      <c r="L89" s="68"/>
      <c r="M89" s="69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</row>
    <row r="90" spans="1:29" ht="16.5" hidden="1">
      <c r="A90" s="81" t="s">
        <v>13</v>
      </c>
      <c r="B90" s="51">
        <v>801</v>
      </c>
      <c r="C90" s="52" t="s">
        <v>810</v>
      </c>
      <c r="D90" s="52" t="s">
        <v>807</v>
      </c>
      <c r="E90" s="52" t="s">
        <v>601</v>
      </c>
      <c r="F90" s="52" t="s">
        <v>572</v>
      </c>
      <c r="G90" s="40"/>
      <c r="H90" s="40"/>
      <c r="I90" s="40"/>
      <c r="J90" s="75"/>
      <c r="K90" s="68"/>
      <c r="L90" s="68"/>
      <c r="M90" s="69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</row>
    <row r="91" spans="1:29" ht="21" customHeight="1">
      <c r="A91" s="85" t="s">
        <v>663</v>
      </c>
      <c r="B91" s="51">
        <v>801</v>
      </c>
      <c r="C91" s="52" t="s">
        <v>810</v>
      </c>
      <c r="D91" s="52" t="s">
        <v>492</v>
      </c>
      <c r="E91" s="52"/>
      <c r="F91" s="52"/>
      <c r="G91" s="40">
        <f>SUM(G92)</f>
        <v>45290</v>
      </c>
      <c r="H91" s="40">
        <f aca="true" t="shared" si="7" ref="H91:I93">SUM(H92)</f>
        <v>33992.6</v>
      </c>
      <c r="I91" s="40">
        <f t="shared" si="7"/>
        <v>34376.9</v>
      </c>
      <c r="J91" s="75"/>
      <c r="K91" s="68"/>
      <c r="L91" s="68"/>
      <c r="M91" s="69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</row>
    <row r="92" spans="1:29" ht="20.25" customHeight="1">
      <c r="A92" s="85" t="s">
        <v>766</v>
      </c>
      <c r="B92" s="51">
        <v>801</v>
      </c>
      <c r="C92" s="52" t="s">
        <v>810</v>
      </c>
      <c r="D92" s="52" t="s">
        <v>492</v>
      </c>
      <c r="E92" s="52" t="s">
        <v>199</v>
      </c>
      <c r="F92" s="52"/>
      <c r="G92" s="40">
        <f>SUM(G93)</f>
        <v>45290</v>
      </c>
      <c r="H92" s="40">
        <f t="shared" si="7"/>
        <v>33992.6</v>
      </c>
      <c r="I92" s="40">
        <f t="shared" si="7"/>
        <v>34376.9</v>
      </c>
      <c r="J92" s="75"/>
      <c r="K92" s="68"/>
      <c r="L92" s="68"/>
      <c r="M92" s="69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</row>
    <row r="93" spans="1:29" ht="18.75" customHeight="1">
      <c r="A93" s="85" t="s">
        <v>403</v>
      </c>
      <c r="B93" s="51">
        <v>801</v>
      </c>
      <c r="C93" s="52" t="s">
        <v>810</v>
      </c>
      <c r="D93" s="52" t="s">
        <v>492</v>
      </c>
      <c r="E93" s="52" t="s">
        <v>200</v>
      </c>
      <c r="F93" s="52"/>
      <c r="G93" s="40">
        <f>SUM(G94)</f>
        <v>45290</v>
      </c>
      <c r="H93" s="40">
        <f t="shared" si="7"/>
        <v>33992.6</v>
      </c>
      <c r="I93" s="40">
        <f t="shared" si="7"/>
        <v>34376.9</v>
      </c>
      <c r="J93" s="75"/>
      <c r="K93" s="68"/>
      <c r="L93" s="68"/>
      <c r="M93" s="69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</row>
    <row r="94" spans="1:29" ht="20.25" customHeight="1">
      <c r="A94" s="81" t="s">
        <v>159</v>
      </c>
      <c r="B94" s="51">
        <v>801</v>
      </c>
      <c r="C94" s="52" t="s">
        <v>810</v>
      </c>
      <c r="D94" s="52" t="s">
        <v>492</v>
      </c>
      <c r="E94" s="52" t="s">
        <v>200</v>
      </c>
      <c r="F94" s="52" t="s">
        <v>572</v>
      </c>
      <c r="G94" s="40">
        <f>41790+3500</f>
        <v>45290</v>
      </c>
      <c r="H94" s="40">
        <v>33992.6</v>
      </c>
      <c r="I94" s="40">
        <v>34376.9</v>
      </c>
      <c r="J94" s="75"/>
      <c r="K94" s="68"/>
      <c r="L94" s="68"/>
      <c r="M94" s="69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</row>
    <row r="95" spans="1:29" ht="18.75" customHeight="1">
      <c r="A95" s="85" t="s">
        <v>433</v>
      </c>
      <c r="B95" s="51">
        <v>801</v>
      </c>
      <c r="C95" s="52" t="s">
        <v>810</v>
      </c>
      <c r="D95" s="52" t="s">
        <v>530</v>
      </c>
      <c r="E95" s="52"/>
      <c r="F95" s="52"/>
      <c r="G95" s="40">
        <f>SUM(G97)</f>
        <v>14472.5</v>
      </c>
      <c r="H95" s="40">
        <f>SUM(H97)</f>
        <v>17852.5</v>
      </c>
      <c r="I95" s="40">
        <f>SUM(I97)</f>
        <v>15000</v>
      </c>
      <c r="J95" s="75"/>
      <c r="K95" s="68"/>
      <c r="L95" s="68"/>
      <c r="M95" s="69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</row>
    <row r="96" spans="1:29" ht="18.75" customHeight="1">
      <c r="A96" s="86" t="s">
        <v>364</v>
      </c>
      <c r="B96" s="51">
        <v>801</v>
      </c>
      <c r="C96" s="52" t="s">
        <v>810</v>
      </c>
      <c r="D96" s="52" t="s">
        <v>530</v>
      </c>
      <c r="E96" s="52" t="s">
        <v>358</v>
      </c>
      <c r="F96" s="52"/>
      <c r="G96" s="40">
        <f>G97</f>
        <v>14472.5</v>
      </c>
      <c r="H96" s="40">
        <f>H97</f>
        <v>17852.5</v>
      </c>
      <c r="I96" s="40">
        <f>I97</f>
        <v>15000</v>
      </c>
      <c r="J96" s="75"/>
      <c r="K96" s="68"/>
      <c r="L96" s="68"/>
      <c r="M96" s="69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</row>
    <row r="97" spans="1:29" ht="19.5" customHeight="1">
      <c r="A97" s="86" t="s">
        <v>394</v>
      </c>
      <c r="B97" s="51">
        <v>801</v>
      </c>
      <c r="C97" s="52" t="s">
        <v>810</v>
      </c>
      <c r="D97" s="52" t="s">
        <v>530</v>
      </c>
      <c r="E97" s="52" t="s">
        <v>359</v>
      </c>
      <c r="F97" s="52"/>
      <c r="G97" s="40">
        <f>G98+G100</f>
        <v>14472.5</v>
      </c>
      <c r="H97" s="40">
        <f>H98+H100</f>
        <v>17852.5</v>
      </c>
      <c r="I97" s="40">
        <f>I98+I100</f>
        <v>15000</v>
      </c>
      <c r="J97" s="75"/>
      <c r="K97" s="68"/>
      <c r="L97" s="68"/>
      <c r="M97" s="69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</row>
    <row r="98" spans="1:29" ht="36" customHeight="1">
      <c r="A98" s="81" t="s">
        <v>330</v>
      </c>
      <c r="B98" s="51">
        <v>801</v>
      </c>
      <c r="C98" s="52" t="s">
        <v>810</v>
      </c>
      <c r="D98" s="52" t="s">
        <v>530</v>
      </c>
      <c r="E98" s="52" t="s">
        <v>374</v>
      </c>
      <c r="F98" s="52"/>
      <c r="G98" s="40">
        <f>SUM(G99)</f>
        <v>2472.5</v>
      </c>
      <c r="H98" s="40">
        <f>SUM(H99)</f>
        <v>2852.5</v>
      </c>
      <c r="I98" s="40">
        <f>SUM(I99)</f>
        <v>0</v>
      </c>
      <c r="J98" s="75"/>
      <c r="K98" s="68"/>
      <c r="L98" s="68"/>
      <c r="M98" s="69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</row>
    <row r="99" spans="1:29" ht="18.75" customHeight="1">
      <c r="A99" s="85" t="s">
        <v>668</v>
      </c>
      <c r="B99" s="51">
        <v>801</v>
      </c>
      <c r="C99" s="52" t="s">
        <v>810</v>
      </c>
      <c r="D99" s="52" t="s">
        <v>530</v>
      </c>
      <c r="E99" s="52" t="s">
        <v>374</v>
      </c>
      <c r="F99" s="52" t="s">
        <v>257</v>
      </c>
      <c r="G99" s="40">
        <v>2472.5</v>
      </c>
      <c r="H99" s="40">
        <v>2852.5</v>
      </c>
      <c r="I99" s="40"/>
      <c r="J99" s="75"/>
      <c r="K99" s="68"/>
      <c r="L99" s="68"/>
      <c r="M99" s="69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</row>
    <row r="100" spans="1:13" s="68" customFormat="1" ht="21.75" customHeight="1">
      <c r="A100" s="85" t="s">
        <v>372</v>
      </c>
      <c r="B100" s="51">
        <v>801</v>
      </c>
      <c r="C100" s="52" t="s">
        <v>810</v>
      </c>
      <c r="D100" s="52" t="s">
        <v>530</v>
      </c>
      <c r="E100" s="51" t="s">
        <v>376</v>
      </c>
      <c r="F100" s="52"/>
      <c r="G100" s="40">
        <f>G101</f>
        <v>12000</v>
      </c>
      <c r="H100" s="40">
        <f>H101</f>
        <v>15000</v>
      </c>
      <c r="I100" s="40">
        <f>I101</f>
        <v>15000</v>
      </c>
      <c r="J100" s="75"/>
      <c r="M100" s="69"/>
    </row>
    <row r="101" spans="1:13" s="68" customFormat="1" ht="18.75" customHeight="1">
      <c r="A101" s="85" t="s">
        <v>668</v>
      </c>
      <c r="B101" s="51">
        <v>801</v>
      </c>
      <c r="C101" s="52" t="s">
        <v>810</v>
      </c>
      <c r="D101" s="52" t="s">
        <v>530</v>
      </c>
      <c r="E101" s="51" t="s">
        <v>376</v>
      </c>
      <c r="F101" s="52" t="s">
        <v>257</v>
      </c>
      <c r="G101" s="40">
        <v>12000</v>
      </c>
      <c r="H101" s="40">
        <v>15000</v>
      </c>
      <c r="I101" s="40">
        <v>15000</v>
      </c>
      <c r="J101" s="75"/>
      <c r="M101" s="69"/>
    </row>
    <row r="102" spans="1:29" ht="19.5" customHeight="1">
      <c r="A102" s="85" t="s">
        <v>426</v>
      </c>
      <c r="B102" s="51">
        <v>801</v>
      </c>
      <c r="C102" s="52" t="s">
        <v>529</v>
      </c>
      <c r="D102" s="52"/>
      <c r="E102" s="52"/>
      <c r="F102" s="52"/>
      <c r="G102" s="40">
        <f>SUM(G103)</f>
        <v>6385.3</v>
      </c>
      <c r="H102" s="40">
        <f>SUM(H103)</f>
        <v>6815.200000000001</v>
      </c>
      <c r="I102" s="40">
        <f>SUM(I103)</f>
        <v>6955.200000000001</v>
      </c>
      <c r="J102" s="75"/>
      <c r="K102" s="68"/>
      <c r="L102" s="68"/>
      <c r="M102" s="69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</row>
    <row r="103" spans="1:29" ht="20.25" customHeight="1">
      <c r="A103" s="85" t="s">
        <v>250</v>
      </c>
      <c r="B103" s="51">
        <v>801</v>
      </c>
      <c r="C103" s="52" t="s">
        <v>529</v>
      </c>
      <c r="D103" s="52" t="s">
        <v>529</v>
      </c>
      <c r="E103" s="52"/>
      <c r="F103" s="52"/>
      <c r="G103" s="40">
        <f>G104+G111+G115</f>
        <v>6385.3</v>
      </c>
      <c r="H103" s="40">
        <f>H104+H111+H115</f>
        <v>6815.200000000001</v>
      </c>
      <c r="I103" s="40">
        <f>I104+I111+I115</f>
        <v>6955.200000000001</v>
      </c>
      <c r="J103" s="75"/>
      <c r="K103" s="68"/>
      <c r="L103" s="68"/>
      <c r="M103" s="69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</row>
    <row r="104" spans="1:29" ht="18.75" customHeight="1">
      <c r="A104" s="85" t="s">
        <v>693</v>
      </c>
      <c r="B104" s="51">
        <v>801</v>
      </c>
      <c r="C104" s="52" t="s">
        <v>529</v>
      </c>
      <c r="D104" s="52" t="s">
        <v>529</v>
      </c>
      <c r="E104" s="52" t="s">
        <v>380</v>
      </c>
      <c r="F104" s="52"/>
      <c r="G104" s="40">
        <f>SUM(G105,G107,G109)</f>
        <v>5685.3</v>
      </c>
      <c r="H104" s="40">
        <f>SUM(H105,H107,H109)</f>
        <v>5825.200000000001</v>
      </c>
      <c r="I104" s="40">
        <f>SUM(I105,I107,I109)</f>
        <v>5965.200000000001</v>
      </c>
      <c r="J104" s="75"/>
      <c r="K104" s="68"/>
      <c r="L104" s="68"/>
      <c r="M104" s="69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</row>
    <row r="105" spans="1:29" ht="18.75" customHeight="1">
      <c r="A105" s="85" t="s">
        <v>594</v>
      </c>
      <c r="B105" s="51">
        <v>801</v>
      </c>
      <c r="C105" s="52" t="s">
        <v>529</v>
      </c>
      <c r="D105" s="52" t="s">
        <v>529</v>
      </c>
      <c r="E105" s="52" t="s">
        <v>379</v>
      </c>
      <c r="F105" s="52"/>
      <c r="G105" s="40">
        <f>SUM(G106)</f>
        <v>804.5</v>
      </c>
      <c r="H105" s="40">
        <f>SUM(H106)</f>
        <v>844.8</v>
      </c>
      <c r="I105" s="40">
        <f>SUM(I106)</f>
        <v>882.8</v>
      </c>
      <c r="J105" s="75"/>
      <c r="K105" s="68"/>
      <c r="L105" s="68"/>
      <c r="M105" s="69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</row>
    <row r="106" spans="1:29" ht="18.75" customHeight="1">
      <c r="A106" s="85" t="s">
        <v>157</v>
      </c>
      <c r="B106" s="51">
        <v>801</v>
      </c>
      <c r="C106" s="52" t="s">
        <v>529</v>
      </c>
      <c r="D106" s="52" t="s">
        <v>529</v>
      </c>
      <c r="E106" s="52" t="s">
        <v>379</v>
      </c>
      <c r="F106" s="52" t="s">
        <v>559</v>
      </c>
      <c r="G106" s="40">
        <v>804.5</v>
      </c>
      <c r="H106" s="40">
        <v>844.8</v>
      </c>
      <c r="I106" s="40">
        <v>882.8</v>
      </c>
      <c r="J106" s="75"/>
      <c r="K106" s="68"/>
      <c r="L106" s="68"/>
      <c r="M106" s="69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</row>
    <row r="107" spans="1:29" ht="18.75" customHeight="1">
      <c r="A107" s="85" t="s">
        <v>593</v>
      </c>
      <c r="B107" s="51">
        <v>801</v>
      </c>
      <c r="C107" s="52" t="s">
        <v>529</v>
      </c>
      <c r="D107" s="52" t="s">
        <v>529</v>
      </c>
      <c r="E107" s="52" t="s">
        <v>799</v>
      </c>
      <c r="F107" s="52"/>
      <c r="G107" s="40">
        <f>SUM(G108)</f>
        <v>192.8</v>
      </c>
      <c r="H107" s="40">
        <f>SUM(H108)</f>
        <v>192.8</v>
      </c>
      <c r="I107" s="40">
        <f>SUM(I108)</f>
        <v>192.8</v>
      </c>
      <c r="J107" s="75"/>
      <c r="K107" s="68"/>
      <c r="L107" s="68"/>
      <c r="M107" s="69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</row>
    <row r="108" spans="1:29" ht="18.75" customHeight="1">
      <c r="A108" s="85" t="s">
        <v>13</v>
      </c>
      <c r="B108" s="51">
        <v>801</v>
      </c>
      <c r="C108" s="52" t="s">
        <v>529</v>
      </c>
      <c r="D108" s="52" t="s">
        <v>529</v>
      </c>
      <c r="E108" s="52" t="s">
        <v>799</v>
      </c>
      <c r="F108" s="52" t="s">
        <v>572</v>
      </c>
      <c r="G108" s="40">
        <v>192.8</v>
      </c>
      <c r="H108" s="40">
        <v>192.8</v>
      </c>
      <c r="I108" s="40">
        <v>192.8</v>
      </c>
      <c r="J108" s="75"/>
      <c r="K108" s="68"/>
      <c r="L108" s="68"/>
      <c r="M108" s="69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</row>
    <row r="109" spans="1:47" s="88" customFormat="1" ht="18.75" customHeight="1">
      <c r="A109" s="81" t="s">
        <v>566</v>
      </c>
      <c r="B109" s="51">
        <v>801</v>
      </c>
      <c r="C109" s="52" t="s">
        <v>529</v>
      </c>
      <c r="D109" s="52" t="s">
        <v>529</v>
      </c>
      <c r="E109" s="52" t="s">
        <v>798</v>
      </c>
      <c r="F109" s="52"/>
      <c r="G109" s="40">
        <f>SUM(G110)</f>
        <v>4688</v>
      </c>
      <c r="H109" s="40">
        <f>SUM(H110)</f>
        <v>4787.6</v>
      </c>
      <c r="I109" s="40">
        <f>SUM(I110)</f>
        <v>4889.6</v>
      </c>
      <c r="J109" s="75"/>
      <c r="K109" s="68"/>
      <c r="L109" s="68"/>
      <c r="M109" s="69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</row>
    <row r="110" spans="1:142" s="88" customFormat="1" ht="18.75" customHeight="1">
      <c r="A110" s="85" t="s">
        <v>13</v>
      </c>
      <c r="B110" s="51">
        <v>801</v>
      </c>
      <c r="C110" s="52" t="s">
        <v>529</v>
      </c>
      <c r="D110" s="52" t="s">
        <v>529</v>
      </c>
      <c r="E110" s="52" t="s">
        <v>798</v>
      </c>
      <c r="F110" s="52" t="s">
        <v>572</v>
      </c>
      <c r="G110" s="40">
        <v>4688</v>
      </c>
      <c r="H110" s="40">
        <v>4787.6</v>
      </c>
      <c r="I110" s="40">
        <v>4889.6</v>
      </c>
      <c r="J110" s="75"/>
      <c r="K110" s="68"/>
      <c r="L110" s="68"/>
      <c r="M110" s="69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</row>
    <row r="111" spans="1:142" ht="18.75" customHeight="1" hidden="1">
      <c r="A111" s="81" t="s">
        <v>226</v>
      </c>
      <c r="B111" s="51">
        <v>801</v>
      </c>
      <c r="C111" s="52" t="s">
        <v>529</v>
      </c>
      <c r="D111" s="52" t="s">
        <v>529</v>
      </c>
      <c r="E111" s="52" t="s">
        <v>494</v>
      </c>
      <c r="F111" s="52"/>
      <c r="G111" s="40">
        <f aca="true" t="shared" si="8" ref="G111:I112">G112</f>
        <v>0</v>
      </c>
      <c r="H111" s="40">
        <f t="shared" si="8"/>
        <v>0</v>
      </c>
      <c r="I111" s="40">
        <f t="shared" si="8"/>
        <v>0</v>
      </c>
      <c r="J111" s="75"/>
      <c r="K111" s="68"/>
      <c r="L111" s="68"/>
      <c r="M111" s="69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</row>
    <row r="112" spans="1:142" ht="18.75" customHeight="1" hidden="1">
      <c r="A112" s="86" t="s">
        <v>323</v>
      </c>
      <c r="B112" s="51">
        <v>801</v>
      </c>
      <c r="C112" s="52" t="s">
        <v>529</v>
      </c>
      <c r="D112" s="52" t="s">
        <v>529</v>
      </c>
      <c r="E112" s="52" t="s">
        <v>537</v>
      </c>
      <c r="F112" s="52"/>
      <c r="G112" s="40">
        <f t="shared" si="8"/>
        <v>0</v>
      </c>
      <c r="H112" s="40">
        <f t="shared" si="8"/>
        <v>0</v>
      </c>
      <c r="I112" s="40">
        <f t="shared" si="8"/>
        <v>0</v>
      </c>
      <c r="J112" s="75"/>
      <c r="K112" s="68"/>
      <c r="L112" s="68"/>
      <c r="M112" s="69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</row>
    <row r="113" spans="1:142" ht="18.75" customHeight="1" hidden="1">
      <c r="A113" s="85" t="s">
        <v>560</v>
      </c>
      <c r="B113" s="51">
        <v>801</v>
      </c>
      <c r="C113" s="52" t="s">
        <v>529</v>
      </c>
      <c r="D113" s="52" t="s">
        <v>529</v>
      </c>
      <c r="E113" s="52" t="s">
        <v>537</v>
      </c>
      <c r="F113" s="52" t="s">
        <v>559</v>
      </c>
      <c r="G113" s="40"/>
      <c r="H113" s="40"/>
      <c r="I113" s="40"/>
      <c r="J113" s="75"/>
      <c r="K113" s="68"/>
      <c r="L113" s="68"/>
      <c r="M113" s="69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</row>
    <row r="114" spans="1:142" ht="18.75" customHeight="1">
      <c r="A114" s="86" t="s">
        <v>364</v>
      </c>
      <c r="B114" s="51">
        <v>801</v>
      </c>
      <c r="C114" s="52" t="s">
        <v>529</v>
      </c>
      <c r="D114" s="52" t="s">
        <v>529</v>
      </c>
      <c r="E114" s="52" t="s">
        <v>358</v>
      </c>
      <c r="F114" s="52"/>
      <c r="G114" s="40">
        <f>G115</f>
        <v>700</v>
      </c>
      <c r="H114" s="40">
        <f>H115</f>
        <v>990</v>
      </c>
      <c r="I114" s="40">
        <f>I115</f>
        <v>990</v>
      </c>
      <c r="J114" s="75"/>
      <c r="K114" s="68"/>
      <c r="L114" s="68"/>
      <c r="M114" s="69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</row>
    <row r="115" spans="1:142" ht="18.75" customHeight="1">
      <c r="A115" s="86" t="s">
        <v>394</v>
      </c>
      <c r="B115" s="51">
        <v>801</v>
      </c>
      <c r="C115" s="52" t="s">
        <v>529</v>
      </c>
      <c r="D115" s="52" t="s">
        <v>529</v>
      </c>
      <c r="E115" s="52" t="s">
        <v>359</v>
      </c>
      <c r="F115" s="52"/>
      <c r="G115" s="40">
        <f aca="true" t="shared" si="9" ref="G115:I116">SUM(G116)</f>
        <v>700</v>
      </c>
      <c r="H115" s="40">
        <f t="shared" si="9"/>
        <v>990</v>
      </c>
      <c r="I115" s="40">
        <f t="shared" si="9"/>
        <v>990</v>
      </c>
      <c r="J115" s="75"/>
      <c r="K115" s="68"/>
      <c r="L115" s="68"/>
      <c r="M115" s="69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</row>
    <row r="116" spans="1:142" ht="20.25" customHeight="1">
      <c r="A116" s="85" t="s">
        <v>216</v>
      </c>
      <c r="B116" s="51">
        <v>801</v>
      </c>
      <c r="C116" s="52" t="s">
        <v>529</v>
      </c>
      <c r="D116" s="52" t="s">
        <v>529</v>
      </c>
      <c r="E116" s="52" t="s">
        <v>369</v>
      </c>
      <c r="F116" s="52"/>
      <c r="G116" s="40">
        <f t="shared" si="9"/>
        <v>700</v>
      </c>
      <c r="H116" s="40">
        <f t="shared" si="9"/>
        <v>990</v>
      </c>
      <c r="I116" s="40">
        <f t="shared" si="9"/>
        <v>990</v>
      </c>
      <c r="J116" s="75"/>
      <c r="K116" s="68"/>
      <c r="L116" s="68"/>
      <c r="M116" s="69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</row>
    <row r="117" spans="1:142" s="89" customFormat="1" ht="21" customHeight="1">
      <c r="A117" s="82" t="s">
        <v>361</v>
      </c>
      <c r="B117" s="51">
        <v>801</v>
      </c>
      <c r="C117" s="52" t="s">
        <v>529</v>
      </c>
      <c r="D117" s="52" t="s">
        <v>529</v>
      </c>
      <c r="E117" s="52" t="s">
        <v>369</v>
      </c>
      <c r="F117" s="52" t="s">
        <v>214</v>
      </c>
      <c r="G117" s="40">
        <v>700</v>
      </c>
      <c r="H117" s="40">
        <v>990</v>
      </c>
      <c r="I117" s="40">
        <v>990</v>
      </c>
      <c r="J117" s="75"/>
      <c r="K117" s="68"/>
      <c r="L117" s="68"/>
      <c r="M117" s="69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</row>
    <row r="118" spans="1:142" s="90" customFormat="1" ht="18.75" customHeight="1">
      <c r="A118" s="85" t="s">
        <v>231</v>
      </c>
      <c r="B118" s="51">
        <v>801</v>
      </c>
      <c r="C118" s="52" t="s">
        <v>60</v>
      </c>
      <c r="D118" s="52"/>
      <c r="E118" s="52"/>
      <c r="F118" s="52"/>
      <c r="G118" s="40">
        <f>G119+G123</f>
        <v>75</v>
      </c>
      <c r="H118" s="40">
        <f>H119+H123</f>
        <v>75</v>
      </c>
      <c r="I118" s="40">
        <f>I119+I123</f>
        <v>0</v>
      </c>
      <c r="J118" s="75"/>
      <c r="K118" s="68"/>
      <c r="L118" s="68"/>
      <c r="M118" s="69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</row>
    <row r="119" spans="1:13" s="68" customFormat="1" ht="18.75" customHeight="1" hidden="1">
      <c r="A119" s="85" t="s">
        <v>251</v>
      </c>
      <c r="B119" s="51">
        <v>801</v>
      </c>
      <c r="C119" s="52" t="s">
        <v>60</v>
      </c>
      <c r="D119" s="52" t="s">
        <v>807</v>
      </c>
      <c r="E119" s="91"/>
      <c r="F119" s="52"/>
      <c r="G119" s="40">
        <f>G120</f>
        <v>0</v>
      </c>
      <c r="H119" s="40">
        <f aca="true" t="shared" si="10" ref="H119:I121">H120</f>
        <v>0</v>
      </c>
      <c r="I119" s="40">
        <f t="shared" si="10"/>
        <v>0</v>
      </c>
      <c r="J119" s="75"/>
      <c r="M119" s="69"/>
    </row>
    <row r="120" spans="1:13" s="68" customFormat="1" ht="18.75" customHeight="1" hidden="1">
      <c r="A120" s="81" t="s">
        <v>789</v>
      </c>
      <c r="B120" s="51">
        <v>801</v>
      </c>
      <c r="C120" s="52" t="s">
        <v>60</v>
      </c>
      <c r="D120" s="52" t="s">
        <v>807</v>
      </c>
      <c r="E120" s="52" t="s">
        <v>179</v>
      </c>
      <c r="F120" s="52"/>
      <c r="G120" s="40">
        <f>G121</f>
        <v>0</v>
      </c>
      <c r="H120" s="40">
        <f t="shared" si="10"/>
        <v>0</v>
      </c>
      <c r="I120" s="40">
        <f t="shared" si="10"/>
        <v>0</v>
      </c>
      <c r="J120" s="75"/>
      <c r="M120" s="69"/>
    </row>
    <row r="121" spans="1:13" s="68" customFormat="1" ht="18.75" customHeight="1" hidden="1">
      <c r="A121" s="50" t="s">
        <v>180</v>
      </c>
      <c r="B121" s="51">
        <v>801</v>
      </c>
      <c r="C121" s="52" t="s">
        <v>60</v>
      </c>
      <c r="D121" s="52" t="s">
        <v>807</v>
      </c>
      <c r="E121" s="52" t="s">
        <v>181</v>
      </c>
      <c r="F121" s="52"/>
      <c r="G121" s="40">
        <f>G122</f>
        <v>0</v>
      </c>
      <c r="H121" s="40">
        <f t="shared" si="10"/>
        <v>0</v>
      </c>
      <c r="I121" s="40">
        <f t="shared" si="10"/>
        <v>0</v>
      </c>
      <c r="J121" s="75"/>
      <c r="M121" s="69"/>
    </row>
    <row r="122" spans="1:13" s="68" customFormat="1" ht="18.75" customHeight="1" hidden="1">
      <c r="A122" s="50" t="s">
        <v>558</v>
      </c>
      <c r="B122" s="51">
        <v>801</v>
      </c>
      <c r="C122" s="52" t="s">
        <v>60</v>
      </c>
      <c r="D122" s="52" t="s">
        <v>807</v>
      </c>
      <c r="E122" s="52" t="s">
        <v>181</v>
      </c>
      <c r="F122" s="52" t="s">
        <v>305</v>
      </c>
      <c r="G122" s="40"/>
      <c r="H122" s="40"/>
      <c r="I122" s="40"/>
      <c r="J122" s="75"/>
      <c r="M122" s="69"/>
    </row>
    <row r="123" spans="1:13" s="68" customFormat="1" ht="18.75" customHeight="1">
      <c r="A123" s="81" t="s">
        <v>714</v>
      </c>
      <c r="B123" s="51">
        <v>801</v>
      </c>
      <c r="C123" s="52" t="s">
        <v>60</v>
      </c>
      <c r="D123" s="52" t="s">
        <v>810</v>
      </c>
      <c r="E123" s="52"/>
      <c r="F123" s="52"/>
      <c r="G123" s="40">
        <f aca="true" t="shared" si="11" ref="G123:I126">G124</f>
        <v>75</v>
      </c>
      <c r="H123" s="40">
        <f t="shared" si="11"/>
        <v>75</v>
      </c>
      <c r="I123" s="40">
        <f t="shared" si="11"/>
        <v>0</v>
      </c>
      <c r="J123" s="75"/>
      <c r="M123" s="69"/>
    </row>
    <row r="124" spans="1:13" s="68" customFormat="1" ht="18.75" customHeight="1">
      <c r="A124" s="86" t="s">
        <v>364</v>
      </c>
      <c r="B124" s="51">
        <v>801</v>
      </c>
      <c r="C124" s="52" t="s">
        <v>60</v>
      </c>
      <c r="D124" s="52" t="s">
        <v>810</v>
      </c>
      <c r="E124" s="52" t="s">
        <v>358</v>
      </c>
      <c r="F124" s="52"/>
      <c r="G124" s="40">
        <f t="shared" si="11"/>
        <v>75</v>
      </c>
      <c r="H124" s="40">
        <f t="shared" si="11"/>
        <v>75</v>
      </c>
      <c r="I124" s="40">
        <f t="shared" si="11"/>
        <v>0</v>
      </c>
      <c r="J124" s="75"/>
      <c r="M124" s="69"/>
    </row>
    <row r="125" spans="1:13" s="68" customFormat="1" ht="18.75" customHeight="1">
      <c r="A125" s="86" t="s">
        <v>394</v>
      </c>
      <c r="B125" s="51">
        <v>801</v>
      </c>
      <c r="C125" s="52" t="s">
        <v>60</v>
      </c>
      <c r="D125" s="52" t="s">
        <v>810</v>
      </c>
      <c r="E125" s="52" t="s">
        <v>359</v>
      </c>
      <c r="F125" s="52"/>
      <c r="G125" s="40">
        <f t="shared" si="11"/>
        <v>75</v>
      </c>
      <c r="H125" s="40">
        <f t="shared" si="11"/>
        <v>75</v>
      </c>
      <c r="I125" s="40">
        <f t="shared" si="11"/>
        <v>0</v>
      </c>
      <c r="J125" s="75"/>
      <c r="M125" s="69"/>
    </row>
    <row r="126" spans="1:13" s="68" customFormat="1" ht="18.75" customHeight="1">
      <c r="A126" s="82" t="s">
        <v>375</v>
      </c>
      <c r="B126" s="51">
        <v>801</v>
      </c>
      <c r="C126" s="52" t="s">
        <v>60</v>
      </c>
      <c r="D126" s="52" t="s">
        <v>810</v>
      </c>
      <c r="E126" s="52" t="s">
        <v>373</v>
      </c>
      <c r="F126" s="52"/>
      <c r="G126" s="40">
        <f t="shared" si="11"/>
        <v>75</v>
      </c>
      <c r="H126" s="40">
        <f t="shared" si="11"/>
        <v>75</v>
      </c>
      <c r="I126" s="40">
        <f t="shared" si="11"/>
        <v>0</v>
      </c>
      <c r="J126" s="75"/>
      <c r="M126" s="69"/>
    </row>
    <row r="127" spans="1:13" s="68" customFormat="1" ht="18.75" customHeight="1">
      <c r="A127" s="82" t="s">
        <v>361</v>
      </c>
      <c r="B127" s="51">
        <v>801</v>
      </c>
      <c r="C127" s="52" t="s">
        <v>60</v>
      </c>
      <c r="D127" s="52" t="s">
        <v>810</v>
      </c>
      <c r="E127" s="52" t="s">
        <v>373</v>
      </c>
      <c r="F127" s="52" t="s">
        <v>214</v>
      </c>
      <c r="G127" s="40">
        <v>75</v>
      </c>
      <c r="H127" s="40">
        <v>75</v>
      </c>
      <c r="I127" s="40"/>
      <c r="J127" s="75"/>
      <c r="M127" s="69"/>
    </row>
    <row r="128" spans="1:29" ht="17.25" customHeight="1">
      <c r="A128" s="81" t="s">
        <v>427</v>
      </c>
      <c r="B128" s="51">
        <v>801</v>
      </c>
      <c r="C128" s="52" t="s">
        <v>492</v>
      </c>
      <c r="D128" s="52"/>
      <c r="E128" s="52"/>
      <c r="F128" s="52"/>
      <c r="G128" s="40">
        <f>SUM(G129,G133)</f>
        <v>19157.2</v>
      </c>
      <c r="H128" s="40">
        <f>SUM(H129,H133)</f>
        <v>18833.6</v>
      </c>
      <c r="I128" s="40">
        <f>SUM(I129,I133)</f>
        <v>18833.6</v>
      </c>
      <c r="J128" s="75"/>
      <c r="K128" s="68"/>
      <c r="L128" s="68"/>
      <c r="M128" s="69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  <row r="129" spans="1:29" ht="18" customHeight="1">
      <c r="A129" s="85" t="s">
        <v>733</v>
      </c>
      <c r="B129" s="51">
        <v>801</v>
      </c>
      <c r="C129" s="52" t="s">
        <v>492</v>
      </c>
      <c r="D129" s="52" t="s">
        <v>807</v>
      </c>
      <c r="E129" s="52"/>
      <c r="F129" s="52"/>
      <c r="G129" s="40">
        <f>SUM(G130)</f>
        <v>6423.6</v>
      </c>
      <c r="H129" s="40">
        <f aca="true" t="shared" si="12" ref="H129:I131">SUM(H130)</f>
        <v>6500</v>
      </c>
      <c r="I129" s="40">
        <f t="shared" si="12"/>
        <v>6500</v>
      </c>
      <c r="J129" s="75"/>
      <c r="K129" s="68"/>
      <c r="L129" s="68"/>
      <c r="M129" s="69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</row>
    <row r="130" spans="1:29" ht="19.5" customHeight="1">
      <c r="A130" s="81" t="s">
        <v>385</v>
      </c>
      <c r="B130" s="51">
        <v>801</v>
      </c>
      <c r="C130" s="52" t="s">
        <v>492</v>
      </c>
      <c r="D130" s="52" t="s">
        <v>807</v>
      </c>
      <c r="E130" s="52" t="s">
        <v>383</v>
      </c>
      <c r="F130" s="52"/>
      <c r="G130" s="40">
        <f>SUM(G131)</f>
        <v>6423.6</v>
      </c>
      <c r="H130" s="40">
        <f t="shared" si="12"/>
        <v>6500</v>
      </c>
      <c r="I130" s="40">
        <f t="shared" si="12"/>
        <v>6500</v>
      </c>
      <c r="J130" s="75"/>
      <c r="K130" s="68"/>
      <c r="L130" s="68"/>
      <c r="M130" s="69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</row>
    <row r="131" spans="1:29" ht="36" customHeight="1">
      <c r="A131" s="81" t="s">
        <v>384</v>
      </c>
      <c r="B131" s="51">
        <v>801</v>
      </c>
      <c r="C131" s="52" t="s">
        <v>492</v>
      </c>
      <c r="D131" s="52" t="s">
        <v>807</v>
      </c>
      <c r="E131" s="52" t="s">
        <v>386</v>
      </c>
      <c r="F131" s="52"/>
      <c r="G131" s="40">
        <f>SUM(G132)</f>
        <v>6423.6</v>
      </c>
      <c r="H131" s="40">
        <f t="shared" si="12"/>
        <v>6500</v>
      </c>
      <c r="I131" s="40">
        <f t="shared" si="12"/>
        <v>6500</v>
      </c>
      <c r="J131" s="75"/>
      <c r="K131" s="68"/>
      <c r="L131" s="68"/>
      <c r="M131" s="69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</row>
    <row r="132" spans="1:29" ht="16.5">
      <c r="A132" s="50" t="s">
        <v>736</v>
      </c>
      <c r="B132" s="51">
        <v>801</v>
      </c>
      <c r="C132" s="52" t="s">
        <v>492</v>
      </c>
      <c r="D132" s="52" t="s">
        <v>807</v>
      </c>
      <c r="E132" s="52" t="s">
        <v>386</v>
      </c>
      <c r="F132" s="52" t="s">
        <v>68</v>
      </c>
      <c r="G132" s="40">
        <v>6423.6</v>
      </c>
      <c r="H132" s="40">
        <v>6500</v>
      </c>
      <c r="I132" s="40">
        <v>6500</v>
      </c>
      <c r="J132" s="75"/>
      <c r="K132" s="68"/>
      <c r="L132" s="68"/>
      <c r="M132" s="69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</row>
    <row r="133" spans="1:29" ht="16.5">
      <c r="A133" s="85" t="s">
        <v>387</v>
      </c>
      <c r="B133" s="51">
        <v>801</v>
      </c>
      <c r="C133" s="52" t="s">
        <v>492</v>
      </c>
      <c r="D133" s="52" t="s">
        <v>809</v>
      </c>
      <c r="E133" s="52"/>
      <c r="F133" s="52"/>
      <c r="G133" s="40">
        <f>SUM(G134,G140,G143)</f>
        <v>12733.6</v>
      </c>
      <c r="H133" s="40">
        <f>SUM(H134,H140,H143)</f>
        <v>12333.6</v>
      </c>
      <c r="I133" s="40">
        <f>SUM(I134,I140,I143)</f>
        <v>12333.6</v>
      </c>
      <c r="J133" s="75"/>
      <c r="K133" s="68"/>
      <c r="L133" s="68"/>
      <c r="M133" s="69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</row>
    <row r="134" spans="1:29" ht="16.5">
      <c r="A134" s="50" t="s">
        <v>737</v>
      </c>
      <c r="B134" s="51">
        <v>801</v>
      </c>
      <c r="C134" s="52" t="s">
        <v>492</v>
      </c>
      <c r="D134" s="52" t="s">
        <v>809</v>
      </c>
      <c r="E134" s="52" t="s">
        <v>392</v>
      </c>
      <c r="F134" s="52"/>
      <c r="G134" s="40">
        <f>G135</f>
        <v>12333.6</v>
      </c>
      <c r="H134" s="40">
        <f>H135</f>
        <v>12333.6</v>
      </c>
      <c r="I134" s="40">
        <f>I135</f>
        <v>12333.6</v>
      </c>
      <c r="J134" s="75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</row>
    <row r="135" spans="1:29" ht="89.25" customHeight="1">
      <c r="A135" s="82" t="s">
        <v>540</v>
      </c>
      <c r="B135" s="51">
        <v>801</v>
      </c>
      <c r="C135" s="52" t="s">
        <v>492</v>
      </c>
      <c r="D135" s="52" t="s">
        <v>809</v>
      </c>
      <c r="E135" s="52" t="s">
        <v>393</v>
      </c>
      <c r="F135" s="52"/>
      <c r="G135" s="40">
        <f>G138</f>
        <v>12333.6</v>
      </c>
      <c r="H135" s="40">
        <f>H138</f>
        <v>12333.6</v>
      </c>
      <c r="I135" s="40">
        <f>I138</f>
        <v>12333.6</v>
      </c>
      <c r="J135" s="75"/>
      <c r="K135" s="68"/>
      <c r="L135" s="68"/>
      <c r="M135" s="69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</row>
    <row r="136" spans="1:29" ht="70.5" customHeight="1" hidden="1">
      <c r="A136" s="82" t="s">
        <v>483</v>
      </c>
      <c r="B136" s="51">
        <v>801</v>
      </c>
      <c r="C136" s="52" t="s">
        <v>492</v>
      </c>
      <c r="D136" s="52" t="s">
        <v>809</v>
      </c>
      <c r="E136" s="52" t="s">
        <v>73</v>
      </c>
      <c r="F136" s="52"/>
      <c r="G136" s="40">
        <f>G137</f>
        <v>0</v>
      </c>
      <c r="H136" s="40">
        <f>H137</f>
        <v>0</v>
      </c>
      <c r="I136" s="40">
        <f>I137</f>
        <v>0</v>
      </c>
      <c r="J136" s="75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</row>
    <row r="137" spans="1:29" ht="18.75" customHeight="1" hidden="1">
      <c r="A137" s="85" t="s">
        <v>567</v>
      </c>
      <c r="B137" s="51">
        <v>801</v>
      </c>
      <c r="C137" s="52" t="s">
        <v>492</v>
      </c>
      <c r="D137" s="52" t="s">
        <v>809</v>
      </c>
      <c r="E137" s="52" t="s">
        <v>73</v>
      </c>
      <c r="F137" s="52" t="s">
        <v>68</v>
      </c>
      <c r="G137" s="40"/>
      <c r="H137" s="40"/>
      <c r="I137" s="40"/>
      <c r="J137" s="75"/>
      <c r="K137" s="68"/>
      <c r="L137" s="68"/>
      <c r="M137" s="69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</row>
    <row r="138" spans="1:29" ht="53.25" customHeight="1">
      <c r="A138" s="82" t="s">
        <v>738</v>
      </c>
      <c r="B138" s="51">
        <v>801</v>
      </c>
      <c r="C138" s="52" t="s">
        <v>492</v>
      </c>
      <c r="D138" s="52" t="s">
        <v>809</v>
      </c>
      <c r="E138" s="52" t="s">
        <v>541</v>
      </c>
      <c r="F138" s="52"/>
      <c r="G138" s="40">
        <f>G139</f>
        <v>12333.6</v>
      </c>
      <c r="H138" s="40">
        <f>H139</f>
        <v>12333.6</v>
      </c>
      <c r="I138" s="40">
        <f>I139</f>
        <v>12333.6</v>
      </c>
      <c r="J138" s="75"/>
      <c r="K138" s="68"/>
      <c r="L138" s="68"/>
      <c r="M138" s="69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</row>
    <row r="139" spans="1:29" ht="16.5">
      <c r="A139" s="85" t="s">
        <v>567</v>
      </c>
      <c r="B139" s="51">
        <v>801</v>
      </c>
      <c r="C139" s="52" t="s">
        <v>492</v>
      </c>
      <c r="D139" s="52" t="s">
        <v>809</v>
      </c>
      <c r="E139" s="52" t="s">
        <v>541</v>
      </c>
      <c r="F139" s="52" t="s">
        <v>68</v>
      </c>
      <c r="G139" s="40">
        <v>12333.6</v>
      </c>
      <c r="H139" s="40">
        <v>12333.6</v>
      </c>
      <c r="I139" s="40">
        <v>12333.6</v>
      </c>
      <c r="J139" s="75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</row>
    <row r="140" spans="1:29" ht="18" customHeight="1" hidden="1">
      <c r="A140" s="85" t="s">
        <v>394</v>
      </c>
      <c r="B140" s="51">
        <v>801</v>
      </c>
      <c r="C140" s="52" t="s">
        <v>492</v>
      </c>
      <c r="D140" s="52" t="s">
        <v>809</v>
      </c>
      <c r="E140" s="52" t="s">
        <v>395</v>
      </c>
      <c r="F140" s="52"/>
      <c r="G140" s="40">
        <f aca="true" t="shared" si="13" ref="G140:I141">SUM(G141)</f>
        <v>400</v>
      </c>
      <c r="H140" s="40">
        <f t="shared" si="13"/>
        <v>0</v>
      </c>
      <c r="I140" s="40">
        <f t="shared" si="13"/>
        <v>0</v>
      </c>
      <c r="J140" s="75"/>
      <c r="K140" s="68"/>
      <c r="L140" s="68"/>
      <c r="M140" s="69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</row>
    <row r="141" spans="1:29" ht="36.75" customHeight="1" hidden="1">
      <c r="A141" s="92" t="s">
        <v>740</v>
      </c>
      <c r="B141" s="51">
        <v>801</v>
      </c>
      <c r="C141" s="52" t="s">
        <v>492</v>
      </c>
      <c r="D141" s="52" t="s">
        <v>809</v>
      </c>
      <c r="E141" s="52" t="s">
        <v>396</v>
      </c>
      <c r="F141" s="52"/>
      <c r="G141" s="40">
        <f t="shared" si="13"/>
        <v>400</v>
      </c>
      <c r="H141" s="40">
        <f t="shared" si="13"/>
        <v>0</v>
      </c>
      <c r="I141" s="40">
        <f t="shared" si="13"/>
        <v>0</v>
      </c>
      <c r="J141" s="75"/>
      <c r="K141" s="68"/>
      <c r="L141" s="68"/>
      <c r="M141" s="69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</row>
    <row r="142" spans="1:29" ht="16.5" customHeight="1" hidden="1">
      <c r="A142" s="85" t="s">
        <v>391</v>
      </c>
      <c r="B142" s="51">
        <v>801</v>
      </c>
      <c r="C142" s="52" t="s">
        <v>492</v>
      </c>
      <c r="D142" s="52" t="s">
        <v>809</v>
      </c>
      <c r="E142" s="52" t="s">
        <v>396</v>
      </c>
      <c r="F142" s="52" t="s">
        <v>1</v>
      </c>
      <c r="G142" s="40">
        <v>400</v>
      </c>
      <c r="H142" s="40"/>
      <c r="I142" s="40"/>
      <c r="J142" s="75"/>
      <c r="K142" s="68"/>
      <c r="L142" s="68"/>
      <c r="M142" s="69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</row>
    <row r="143" spans="1:29" ht="19.5" customHeight="1" hidden="1">
      <c r="A143" s="86" t="s">
        <v>397</v>
      </c>
      <c r="B143" s="51">
        <v>801</v>
      </c>
      <c r="C143" s="52" t="s">
        <v>492</v>
      </c>
      <c r="D143" s="52" t="s">
        <v>809</v>
      </c>
      <c r="E143" s="52" t="s">
        <v>358</v>
      </c>
      <c r="F143" s="52"/>
      <c r="G143" s="40">
        <f aca="true" t="shared" si="14" ref="G143:I144">SUM(G144)</f>
        <v>0</v>
      </c>
      <c r="H143" s="40">
        <f t="shared" si="14"/>
        <v>0</v>
      </c>
      <c r="I143" s="40">
        <f t="shared" si="14"/>
        <v>0</v>
      </c>
      <c r="J143" s="75"/>
      <c r="K143" s="68"/>
      <c r="L143" s="68"/>
      <c r="M143" s="69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</row>
    <row r="144" spans="1:29" ht="20.25" customHeight="1" hidden="1">
      <c r="A144" s="85" t="s">
        <v>797</v>
      </c>
      <c r="B144" s="51">
        <v>801</v>
      </c>
      <c r="C144" s="52" t="s">
        <v>492</v>
      </c>
      <c r="D144" s="52" t="s">
        <v>809</v>
      </c>
      <c r="E144" s="52" t="s">
        <v>557</v>
      </c>
      <c r="F144" s="52"/>
      <c r="G144" s="40">
        <f t="shared" si="14"/>
        <v>0</v>
      </c>
      <c r="H144" s="40">
        <f t="shared" si="14"/>
        <v>0</v>
      </c>
      <c r="I144" s="40">
        <f t="shared" si="14"/>
        <v>0</v>
      </c>
      <c r="J144" s="75"/>
      <c r="K144" s="68"/>
      <c r="L144" s="68"/>
      <c r="M144" s="69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</row>
    <row r="145" spans="1:29" ht="18" customHeight="1" hidden="1">
      <c r="A145" s="85" t="s">
        <v>391</v>
      </c>
      <c r="B145" s="51">
        <v>801</v>
      </c>
      <c r="C145" s="52" t="s">
        <v>492</v>
      </c>
      <c r="D145" s="52" t="s">
        <v>809</v>
      </c>
      <c r="E145" s="52" t="s">
        <v>557</v>
      </c>
      <c r="F145" s="52" t="s">
        <v>1</v>
      </c>
      <c r="G145" s="40"/>
      <c r="H145" s="40"/>
      <c r="I145" s="40"/>
      <c r="J145" s="75"/>
      <c r="K145" s="68"/>
      <c r="L145" s="68"/>
      <c r="M145" s="69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</row>
    <row r="146" spans="1:29" ht="18" customHeight="1">
      <c r="A146" s="85" t="s">
        <v>11</v>
      </c>
      <c r="B146" s="51">
        <v>801</v>
      </c>
      <c r="C146" s="52" t="s">
        <v>530</v>
      </c>
      <c r="D146" s="52"/>
      <c r="E146" s="52"/>
      <c r="F146" s="52"/>
      <c r="G146" s="40">
        <f>SUM(G148)</f>
        <v>32768.4</v>
      </c>
      <c r="H146" s="40">
        <f>SUM(H148)</f>
        <v>30141.7</v>
      </c>
      <c r="I146" s="40">
        <f>SUM(I148)</f>
        <v>30286</v>
      </c>
      <c r="J146" s="75"/>
      <c r="K146" s="68"/>
      <c r="L146" s="68"/>
      <c r="M146" s="69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</row>
    <row r="147" spans="1:29" ht="18" customHeight="1">
      <c r="A147" s="85" t="s">
        <v>767</v>
      </c>
      <c r="B147" s="51">
        <v>801</v>
      </c>
      <c r="C147" s="52" t="s">
        <v>530</v>
      </c>
      <c r="D147" s="52" t="s">
        <v>808</v>
      </c>
      <c r="E147" s="52"/>
      <c r="F147" s="52"/>
      <c r="G147" s="40">
        <f>G148</f>
        <v>32768.4</v>
      </c>
      <c r="H147" s="40">
        <f>H148</f>
        <v>30141.7</v>
      </c>
      <c r="I147" s="40">
        <f>I148</f>
        <v>30286</v>
      </c>
      <c r="J147" s="75"/>
      <c r="K147" s="68"/>
      <c r="L147" s="68"/>
      <c r="M147" s="69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</row>
    <row r="148" spans="1:29" ht="19.5" customHeight="1">
      <c r="A148" s="93" t="s">
        <v>758</v>
      </c>
      <c r="B148" s="51">
        <v>801</v>
      </c>
      <c r="C148" s="52" t="s">
        <v>530</v>
      </c>
      <c r="D148" s="52" t="s">
        <v>808</v>
      </c>
      <c r="E148" s="52" t="s">
        <v>381</v>
      </c>
      <c r="F148" s="52"/>
      <c r="G148" s="40">
        <f>SUM(G149,G151)</f>
        <v>32768.4</v>
      </c>
      <c r="H148" s="40">
        <f>SUM(H149,H151)</f>
        <v>30141.7</v>
      </c>
      <c r="I148" s="40">
        <f>SUM(I149,I151)</f>
        <v>30286</v>
      </c>
      <c r="J148" s="75"/>
      <c r="K148" s="68"/>
      <c r="L148" s="68"/>
      <c r="M148" s="69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</row>
    <row r="149" spans="1:29" ht="18" customHeight="1">
      <c r="A149" s="85" t="s">
        <v>593</v>
      </c>
      <c r="B149" s="51">
        <v>801</v>
      </c>
      <c r="C149" s="52" t="s">
        <v>530</v>
      </c>
      <c r="D149" s="52" t="s">
        <v>808</v>
      </c>
      <c r="E149" s="52" t="s">
        <v>526</v>
      </c>
      <c r="F149" s="52"/>
      <c r="G149" s="40">
        <f>SUM(G150)</f>
        <v>25</v>
      </c>
      <c r="H149" s="40">
        <f>SUM(H150)</f>
        <v>25</v>
      </c>
      <c r="I149" s="40">
        <f>SUM(I150)</f>
        <v>25</v>
      </c>
      <c r="J149" s="75"/>
      <c r="K149" s="68"/>
      <c r="L149" s="68"/>
      <c r="M149" s="69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</row>
    <row r="150" spans="1:29" ht="18" customHeight="1">
      <c r="A150" s="81" t="s">
        <v>13</v>
      </c>
      <c r="B150" s="51">
        <v>801</v>
      </c>
      <c r="C150" s="52" t="s">
        <v>530</v>
      </c>
      <c r="D150" s="52" t="s">
        <v>808</v>
      </c>
      <c r="E150" s="52" t="s">
        <v>526</v>
      </c>
      <c r="F150" s="52" t="s">
        <v>572</v>
      </c>
      <c r="G150" s="40">
        <v>25</v>
      </c>
      <c r="H150" s="40">
        <v>25</v>
      </c>
      <c r="I150" s="40">
        <v>25</v>
      </c>
      <c r="J150" s="75"/>
      <c r="K150" s="68"/>
      <c r="L150" s="68"/>
      <c r="M150" s="69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</row>
    <row r="151" spans="1:29" ht="18" customHeight="1">
      <c r="A151" s="81" t="s">
        <v>566</v>
      </c>
      <c r="B151" s="51">
        <v>801</v>
      </c>
      <c r="C151" s="52" t="s">
        <v>530</v>
      </c>
      <c r="D151" s="52" t="s">
        <v>808</v>
      </c>
      <c r="E151" s="52" t="s">
        <v>382</v>
      </c>
      <c r="F151" s="52"/>
      <c r="G151" s="40">
        <f>SUM(G152)</f>
        <v>32743.4</v>
      </c>
      <c r="H151" s="40">
        <f>SUM(H152)</f>
        <v>30116.7</v>
      </c>
      <c r="I151" s="40">
        <f>SUM(I152)</f>
        <v>30261</v>
      </c>
      <c r="J151" s="75"/>
      <c r="K151" s="68"/>
      <c r="L151" s="68"/>
      <c r="M151" s="69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</row>
    <row r="152" spans="1:29" ht="18" customHeight="1">
      <c r="A152" s="81" t="s">
        <v>13</v>
      </c>
      <c r="B152" s="51">
        <v>801</v>
      </c>
      <c r="C152" s="52" t="s">
        <v>530</v>
      </c>
      <c r="D152" s="52" t="s">
        <v>808</v>
      </c>
      <c r="E152" s="52" t="s">
        <v>382</v>
      </c>
      <c r="F152" s="52" t="s">
        <v>572</v>
      </c>
      <c r="G152" s="40">
        <f>17084.7+15658.7</f>
        <v>32743.4</v>
      </c>
      <c r="H152" s="40">
        <f>14458+15658.7</f>
        <v>30116.7</v>
      </c>
      <c r="I152" s="40">
        <f>14602.3+15658.7</f>
        <v>30261</v>
      </c>
      <c r="J152" s="75"/>
      <c r="K152" s="68"/>
      <c r="L152" s="68"/>
      <c r="M152" s="69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</row>
    <row r="153" spans="1:29" ht="19.5" customHeight="1">
      <c r="A153" s="50" t="s">
        <v>101</v>
      </c>
      <c r="B153" s="51">
        <v>802</v>
      </c>
      <c r="C153" s="52"/>
      <c r="D153" s="52"/>
      <c r="E153" s="52"/>
      <c r="F153" s="52"/>
      <c r="G153" s="40">
        <f>G154+G163+G171</f>
        <v>18178.5</v>
      </c>
      <c r="H153" s="40">
        <f>H154+H163+H171</f>
        <v>17403</v>
      </c>
      <c r="I153" s="40">
        <f>I154+I163+I171</f>
        <v>17446.5</v>
      </c>
      <c r="J153" s="75"/>
      <c r="K153" s="68"/>
      <c r="L153" s="68"/>
      <c r="M153" s="69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</row>
    <row r="154" spans="1:29" ht="18.75" customHeight="1">
      <c r="A154" s="79" t="s">
        <v>15</v>
      </c>
      <c r="B154" s="51">
        <v>802</v>
      </c>
      <c r="C154" s="52" t="s">
        <v>807</v>
      </c>
      <c r="D154" s="52"/>
      <c r="E154" s="52"/>
      <c r="F154" s="52"/>
      <c r="G154" s="40">
        <f aca="true" t="shared" si="15" ref="G154:I155">SUM(G155)</f>
        <v>18178.5</v>
      </c>
      <c r="H154" s="40">
        <f t="shared" si="15"/>
        <v>17403</v>
      </c>
      <c r="I154" s="40">
        <f t="shared" si="15"/>
        <v>17446.5</v>
      </c>
      <c r="J154" s="75"/>
      <c r="K154" s="68"/>
      <c r="L154" s="68"/>
      <c r="M154" s="69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</row>
    <row r="155" spans="1:29" ht="35.25" customHeight="1">
      <c r="A155" s="85" t="s">
        <v>624</v>
      </c>
      <c r="B155" s="51">
        <v>802</v>
      </c>
      <c r="C155" s="52" t="s">
        <v>807</v>
      </c>
      <c r="D155" s="52" t="s">
        <v>809</v>
      </c>
      <c r="E155" s="52"/>
      <c r="F155" s="52"/>
      <c r="G155" s="40">
        <f t="shared" si="15"/>
        <v>18178.5</v>
      </c>
      <c r="H155" s="40">
        <f t="shared" si="15"/>
        <v>17403</v>
      </c>
      <c r="I155" s="40">
        <f t="shared" si="15"/>
        <v>17446.5</v>
      </c>
      <c r="J155" s="75"/>
      <c r="K155" s="68"/>
      <c r="L155" s="68"/>
      <c r="M155" s="69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</row>
    <row r="156" spans="1:29" ht="36" customHeight="1">
      <c r="A156" s="81" t="s">
        <v>625</v>
      </c>
      <c r="B156" s="51">
        <v>802</v>
      </c>
      <c r="C156" s="52" t="s">
        <v>807</v>
      </c>
      <c r="D156" s="52" t="s">
        <v>809</v>
      </c>
      <c r="E156" s="52" t="s">
        <v>43</v>
      </c>
      <c r="F156" s="52"/>
      <c r="G156" s="40">
        <f>SUM(G157,G159,G161)</f>
        <v>18178.5</v>
      </c>
      <c r="H156" s="40">
        <f>SUM(H157,H159,H161)</f>
        <v>17403</v>
      </c>
      <c r="I156" s="40">
        <f>SUM(I157,I159,I161)</f>
        <v>17446.5</v>
      </c>
      <c r="J156" s="75"/>
      <c r="K156" s="68"/>
      <c r="L156" s="68"/>
      <c r="M156" s="69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</row>
    <row r="157" spans="1:29" ht="18.75" customHeight="1">
      <c r="A157" s="81" t="s">
        <v>589</v>
      </c>
      <c r="B157" s="51">
        <v>802</v>
      </c>
      <c r="C157" s="52" t="s">
        <v>807</v>
      </c>
      <c r="D157" s="52" t="s">
        <v>809</v>
      </c>
      <c r="E157" s="52" t="s">
        <v>45</v>
      </c>
      <c r="F157" s="52"/>
      <c r="G157" s="40">
        <f>SUM(G158)</f>
        <v>13569.1</v>
      </c>
      <c r="H157" s="40">
        <f>SUM(H158)</f>
        <v>12793.6</v>
      </c>
      <c r="I157" s="40">
        <f>SUM(I158)</f>
        <v>12837.1</v>
      </c>
      <c r="J157" s="75"/>
      <c r="K157" s="68"/>
      <c r="L157" s="68"/>
      <c r="M157" s="69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</row>
    <row r="158" spans="1:29" ht="18" customHeight="1">
      <c r="A158" s="82" t="s">
        <v>361</v>
      </c>
      <c r="B158" s="51">
        <v>802</v>
      </c>
      <c r="C158" s="52" t="s">
        <v>807</v>
      </c>
      <c r="D158" s="52" t="s">
        <v>809</v>
      </c>
      <c r="E158" s="52" t="s">
        <v>45</v>
      </c>
      <c r="F158" s="52" t="s">
        <v>214</v>
      </c>
      <c r="G158" s="40">
        <f>13267.5+301.6</f>
        <v>13569.1</v>
      </c>
      <c r="H158" s="40">
        <f>12492+301.6</f>
        <v>12793.6</v>
      </c>
      <c r="I158" s="40">
        <f>12535.5+301.6</f>
        <v>12837.1</v>
      </c>
      <c r="J158" s="75"/>
      <c r="K158" s="68"/>
      <c r="L158" s="68"/>
      <c r="M158" s="69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</row>
    <row r="159" spans="1:29" ht="21" customHeight="1">
      <c r="A159" s="81" t="s">
        <v>315</v>
      </c>
      <c r="B159" s="51">
        <v>802</v>
      </c>
      <c r="C159" s="52" t="s">
        <v>807</v>
      </c>
      <c r="D159" s="52" t="s">
        <v>809</v>
      </c>
      <c r="E159" s="52" t="s">
        <v>398</v>
      </c>
      <c r="F159" s="52"/>
      <c r="G159" s="40">
        <f>SUM(G160)</f>
        <v>1725</v>
      </c>
      <c r="H159" s="40">
        <f>SUM(H160)</f>
        <v>1725</v>
      </c>
      <c r="I159" s="40">
        <f>SUM(I160)</f>
        <v>1725</v>
      </c>
      <c r="J159" s="75"/>
      <c r="K159" s="68"/>
      <c r="L159" s="68"/>
      <c r="M159" s="69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</row>
    <row r="160" spans="1:29" ht="20.25" customHeight="1">
      <c r="A160" s="82" t="s">
        <v>361</v>
      </c>
      <c r="B160" s="51">
        <v>802</v>
      </c>
      <c r="C160" s="52" t="s">
        <v>807</v>
      </c>
      <c r="D160" s="52" t="s">
        <v>809</v>
      </c>
      <c r="E160" s="52" t="s">
        <v>398</v>
      </c>
      <c r="F160" s="52" t="s">
        <v>214</v>
      </c>
      <c r="G160" s="40">
        <f>1725</f>
        <v>1725</v>
      </c>
      <c r="H160" s="40">
        <v>1725</v>
      </c>
      <c r="I160" s="40">
        <v>1725</v>
      </c>
      <c r="J160" s="75"/>
      <c r="K160" s="68"/>
      <c r="L160" s="68"/>
      <c r="M160" s="69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</row>
    <row r="161" spans="1:29" ht="19.5" customHeight="1">
      <c r="A161" s="81" t="s">
        <v>316</v>
      </c>
      <c r="B161" s="51">
        <v>802</v>
      </c>
      <c r="C161" s="52" t="s">
        <v>807</v>
      </c>
      <c r="D161" s="52" t="s">
        <v>809</v>
      </c>
      <c r="E161" s="52" t="s">
        <v>399</v>
      </c>
      <c r="F161" s="52"/>
      <c r="G161" s="40">
        <f>SUM(G162)</f>
        <v>2884.4</v>
      </c>
      <c r="H161" s="40">
        <f>SUM(H162)</f>
        <v>2884.4</v>
      </c>
      <c r="I161" s="40">
        <f>SUM(I162)</f>
        <v>2884.4</v>
      </c>
      <c r="J161" s="75"/>
      <c r="K161" s="68"/>
      <c r="L161" s="68"/>
      <c r="M161" s="69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</row>
    <row r="162" spans="1:29" ht="18" customHeight="1">
      <c r="A162" s="82" t="s">
        <v>361</v>
      </c>
      <c r="B162" s="51">
        <v>802</v>
      </c>
      <c r="C162" s="52" t="s">
        <v>807</v>
      </c>
      <c r="D162" s="52" t="s">
        <v>809</v>
      </c>
      <c r="E162" s="52" t="s">
        <v>399</v>
      </c>
      <c r="F162" s="52" t="s">
        <v>214</v>
      </c>
      <c r="G162" s="40">
        <v>2884.4</v>
      </c>
      <c r="H162" s="40">
        <v>2884.4</v>
      </c>
      <c r="I162" s="40">
        <v>2884.4</v>
      </c>
      <c r="J162" s="75"/>
      <c r="K162" s="68"/>
      <c r="L162" s="68"/>
      <c r="M162" s="69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</row>
    <row r="163" spans="1:29" ht="18" customHeight="1" hidden="1">
      <c r="A163" s="82" t="s">
        <v>432</v>
      </c>
      <c r="B163" s="51">
        <v>802</v>
      </c>
      <c r="C163" s="52" t="s">
        <v>810</v>
      </c>
      <c r="D163" s="52" t="s">
        <v>575</v>
      </c>
      <c r="E163" s="52"/>
      <c r="F163" s="52"/>
      <c r="G163" s="40">
        <f>G164</f>
        <v>0</v>
      </c>
      <c r="H163" s="40">
        <f>H164</f>
        <v>0</v>
      </c>
      <c r="I163" s="40">
        <f>I164</f>
        <v>0</v>
      </c>
      <c r="J163" s="75"/>
      <c r="K163" s="68"/>
      <c r="L163" s="68"/>
      <c r="M163" s="69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</row>
    <row r="164" spans="1:29" ht="18" customHeight="1" hidden="1">
      <c r="A164" s="82" t="s">
        <v>773</v>
      </c>
      <c r="B164" s="51">
        <v>802</v>
      </c>
      <c r="C164" s="52" t="s">
        <v>810</v>
      </c>
      <c r="D164" s="52" t="s">
        <v>807</v>
      </c>
      <c r="E164" s="52"/>
      <c r="F164" s="52"/>
      <c r="G164" s="40">
        <f>G165+G168</f>
        <v>0</v>
      </c>
      <c r="H164" s="40">
        <f>H165+H168</f>
        <v>0</v>
      </c>
      <c r="I164" s="40">
        <f>I165+I168</f>
        <v>0</v>
      </c>
      <c r="J164" s="75"/>
      <c r="K164" s="68"/>
      <c r="L164" s="68"/>
      <c r="M164" s="69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</row>
    <row r="165" spans="1:29" ht="18" customHeight="1" hidden="1">
      <c r="A165" s="82" t="s">
        <v>775</v>
      </c>
      <c r="B165" s="51">
        <v>802</v>
      </c>
      <c r="C165" s="52" t="s">
        <v>810</v>
      </c>
      <c r="D165" s="52" t="s">
        <v>807</v>
      </c>
      <c r="E165" s="52" t="s">
        <v>774</v>
      </c>
      <c r="F165" s="52"/>
      <c r="G165" s="40">
        <f>G166</f>
        <v>0</v>
      </c>
      <c r="H165" s="40">
        <f>H166</f>
        <v>0</v>
      </c>
      <c r="I165" s="40">
        <f>I166</f>
        <v>0</v>
      </c>
      <c r="J165" s="75"/>
      <c r="K165" s="68"/>
      <c r="L165" s="68"/>
      <c r="M165" s="69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</row>
    <row r="166" spans="1:29" ht="33.75" customHeight="1" hidden="1">
      <c r="A166" s="81" t="s">
        <v>597</v>
      </c>
      <c r="B166" s="51">
        <v>802</v>
      </c>
      <c r="C166" s="52" t="s">
        <v>810</v>
      </c>
      <c r="D166" s="52" t="s">
        <v>807</v>
      </c>
      <c r="E166" s="52" t="s">
        <v>596</v>
      </c>
      <c r="F166" s="52"/>
      <c r="G166" s="40">
        <f>SUM(G167)</f>
        <v>0</v>
      </c>
      <c r="H166" s="40">
        <f>SUM(H167)</f>
        <v>0</v>
      </c>
      <c r="I166" s="40">
        <f>SUM(I167)</f>
        <v>0</v>
      </c>
      <c r="J166" s="75"/>
      <c r="K166" s="68"/>
      <c r="L166" s="68"/>
      <c r="M166" s="69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</row>
    <row r="167" spans="1:29" ht="18" customHeight="1" hidden="1">
      <c r="A167" s="81" t="s">
        <v>13</v>
      </c>
      <c r="B167" s="51">
        <v>802</v>
      </c>
      <c r="C167" s="52" t="s">
        <v>810</v>
      </c>
      <c r="D167" s="52" t="s">
        <v>807</v>
      </c>
      <c r="E167" s="52" t="s">
        <v>596</v>
      </c>
      <c r="F167" s="52" t="s">
        <v>572</v>
      </c>
      <c r="G167" s="40"/>
      <c r="H167" s="40"/>
      <c r="I167" s="40"/>
      <c r="J167" s="75"/>
      <c r="K167" s="68"/>
      <c r="L167" s="68"/>
      <c r="M167" s="69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</row>
    <row r="168" spans="1:29" ht="18" customHeight="1" hidden="1">
      <c r="A168" s="81" t="s">
        <v>297</v>
      </c>
      <c r="B168" s="51">
        <v>802</v>
      </c>
      <c r="C168" s="52" t="s">
        <v>810</v>
      </c>
      <c r="D168" s="52" t="s">
        <v>807</v>
      </c>
      <c r="E168" s="52" t="s">
        <v>395</v>
      </c>
      <c r="F168" s="52"/>
      <c r="G168" s="40">
        <f>G169</f>
        <v>0</v>
      </c>
      <c r="H168" s="40">
        <f>H169</f>
        <v>0</v>
      </c>
      <c r="I168" s="40">
        <f>I169</f>
        <v>0</v>
      </c>
      <c r="J168" s="75"/>
      <c r="K168" s="68"/>
      <c r="L168" s="68"/>
      <c r="M168" s="69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</row>
    <row r="169" spans="1:29" ht="34.5" customHeight="1" hidden="1">
      <c r="A169" s="81" t="s">
        <v>598</v>
      </c>
      <c r="B169" s="51">
        <v>802</v>
      </c>
      <c r="C169" s="52" t="s">
        <v>810</v>
      </c>
      <c r="D169" s="52" t="s">
        <v>807</v>
      </c>
      <c r="E169" s="52" t="s">
        <v>601</v>
      </c>
      <c r="F169" s="52"/>
      <c r="G169" s="40">
        <f>SUM(G170)</f>
        <v>0</v>
      </c>
      <c r="H169" s="40">
        <f>SUM(H170)</f>
        <v>0</v>
      </c>
      <c r="I169" s="40">
        <f>SUM(I170)</f>
        <v>0</v>
      </c>
      <c r="J169" s="75"/>
      <c r="K169" s="68"/>
      <c r="L169" s="68"/>
      <c r="M169" s="69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</row>
    <row r="170" spans="1:29" ht="18" customHeight="1" hidden="1">
      <c r="A170" s="81" t="s">
        <v>13</v>
      </c>
      <c r="B170" s="51">
        <v>802</v>
      </c>
      <c r="C170" s="52" t="s">
        <v>810</v>
      </c>
      <c r="D170" s="52" t="s">
        <v>807</v>
      </c>
      <c r="E170" s="52" t="s">
        <v>601</v>
      </c>
      <c r="F170" s="52" t="s">
        <v>572</v>
      </c>
      <c r="G170" s="40"/>
      <c r="H170" s="40"/>
      <c r="I170" s="40"/>
      <c r="J170" s="75"/>
      <c r="K170" s="68"/>
      <c r="L170" s="68"/>
      <c r="M170" s="69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</row>
    <row r="171" spans="1:29" ht="18" customHeight="1" hidden="1">
      <c r="A171" s="85" t="s">
        <v>378</v>
      </c>
      <c r="B171" s="51">
        <v>802</v>
      </c>
      <c r="C171" s="52" t="s">
        <v>529</v>
      </c>
      <c r="D171" s="52"/>
      <c r="E171" s="52"/>
      <c r="F171" s="52"/>
      <c r="G171" s="40">
        <f>G172</f>
        <v>0</v>
      </c>
      <c r="H171" s="40">
        <f aca="true" t="shared" si="16" ref="H171:I173">H172</f>
        <v>0</v>
      </c>
      <c r="I171" s="40">
        <f t="shared" si="16"/>
        <v>0</v>
      </c>
      <c r="J171" s="75"/>
      <c r="K171" s="68"/>
      <c r="L171" s="68"/>
      <c r="M171" s="69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</row>
    <row r="172" spans="1:29" ht="18" customHeight="1" hidden="1">
      <c r="A172" s="85" t="s">
        <v>250</v>
      </c>
      <c r="B172" s="51">
        <v>802</v>
      </c>
      <c r="C172" s="52" t="s">
        <v>529</v>
      </c>
      <c r="D172" s="52" t="s">
        <v>529</v>
      </c>
      <c r="E172" s="52"/>
      <c r="F172" s="52"/>
      <c r="G172" s="40">
        <f>G173</f>
        <v>0</v>
      </c>
      <c r="H172" s="40">
        <f t="shared" si="16"/>
        <v>0</v>
      </c>
      <c r="I172" s="40">
        <f t="shared" si="16"/>
        <v>0</v>
      </c>
      <c r="J172" s="75"/>
      <c r="K172" s="68"/>
      <c r="L172" s="68"/>
      <c r="M172" s="69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</row>
    <row r="173" spans="1:29" ht="18" customHeight="1" hidden="1">
      <c r="A173" s="81" t="s">
        <v>226</v>
      </c>
      <c r="B173" s="51">
        <v>802</v>
      </c>
      <c r="C173" s="52" t="s">
        <v>529</v>
      </c>
      <c r="D173" s="52" t="s">
        <v>529</v>
      </c>
      <c r="E173" s="52" t="s">
        <v>494</v>
      </c>
      <c r="F173" s="52"/>
      <c r="G173" s="40">
        <f>G174</f>
        <v>0</v>
      </c>
      <c r="H173" s="40">
        <f t="shared" si="16"/>
        <v>0</v>
      </c>
      <c r="I173" s="40">
        <f t="shared" si="16"/>
        <v>0</v>
      </c>
      <c r="J173" s="75"/>
      <c r="K173" s="68"/>
      <c r="L173" s="68"/>
      <c r="M173" s="69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</row>
    <row r="174" spans="1:29" ht="18" customHeight="1" hidden="1">
      <c r="A174" s="86" t="s">
        <v>323</v>
      </c>
      <c r="B174" s="51">
        <v>802</v>
      </c>
      <c r="C174" s="52" t="s">
        <v>529</v>
      </c>
      <c r="D174" s="52" t="s">
        <v>529</v>
      </c>
      <c r="E174" s="52" t="s">
        <v>537</v>
      </c>
      <c r="F174" s="52"/>
      <c r="G174" s="40">
        <f>SUM(G175)</f>
        <v>0</v>
      </c>
      <c r="H174" s="40">
        <f>SUM(H175)</f>
        <v>0</v>
      </c>
      <c r="I174" s="40">
        <f>SUM(I175)</f>
        <v>0</v>
      </c>
      <c r="J174" s="75"/>
      <c r="K174" s="68"/>
      <c r="L174" s="68"/>
      <c r="M174" s="69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</row>
    <row r="175" spans="1:29" ht="18" customHeight="1" hidden="1">
      <c r="A175" s="85" t="s">
        <v>560</v>
      </c>
      <c r="B175" s="51">
        <v>802</v>
      </c>
      <c r="C175" s="52" t="s">
        <v>529</v>
      </c>
      <c r="D175" s="52" t="s">
        <v>529</v>
      </c>
      <c r="E175" s="52" t="s">
        <v>537</v>
      </c>
      <c r="F175" s="52" t="s">
        <v>559</v>
      </c>
      <c r="G175" s="40"/>
      <c r="H175" s="40"/>
      <c r="I175" s="40"/>
      <c r="J175" s="75"/>
      <c r="K175" s="68"/>
      <c r="L175" s="68"/>
      <c r="M175" s="69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</row>
    <row r="176" spans="1:29" ht="18" customHeight="1">
      <c r="A176" s="63" t="s">
        <v>102</v>
      </c>
      <c r="B176" s="51">
        <v>803</v>
      </c>
      <c r="C176" s="52"/>
      <c r="D176" s="52"/>
      <c r="E176" s="52"/>
      <c r="F176" s="52"/>
      <c r="G176" s="40">
        <f>SUM(G187,G236,G177,G182,G231)</f>
        <v>563476.3999999999</v>
      </c>
      <c r="H176" s="40">
        <f>SUM(H187,H236,H177,H182,H231)</f>
        <v>541145.6000000001</v>
      </c>
      <c r="I176" s="40">
        <f>SUM(I187,I236,I177,I182,I231)</f>
        <v>571282.2999999998</v>
      </c>
      <c r="J176" s="75"/>
      <c r="K176" s="68"/>
      <c r="L176" s="68"/>
      <c r="M176" s="69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</row>
    <row r="177" spans="1:29" ht="18" customHeight="1" hidden="1">
      <c r="A177" s="79" t="s">
        <v>15</v>
      </c>
      <c r="B177" s="51">
        <v>803</v>
      </c>
      <c r="C177" s="52" t="s">
        <v>807</v>
      </c>
      <c r="D177" s="52"/>
      <c r="E177" s="52"/>
      <c r="F177" s="52"/>
      <c r="G177" s="40">
        <f>G178</f>
        <v>0</v>
      </c>
      <c r="H177" s="40">
        <f aca="true" t="shared" si="17" ref="H177:I180">H178</f>
        <v>0</v>
      </c>
      <c r="I177" s="40">
        <f t="shared" si="17"/>
        <v>0</v>
      </c>
      <c r="J177" s="75"/>
      <c r="K177" s="68"/>
      <c r="L177" s="68"/>
      <c r="M177" s="69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</row>
    <row r="178" spans="1:29" ht="18" customHeight="1" hidden="1">
      <c r="A178" s="85" t="s">
        <v>327</v>
      </c>
      <c r="B178" s="51">
        <v>803</v>
      </c>
      <c r="C178" s="52" t="s">
        <v>807</v>
      </c>
      <c r="D178" s="52" t="s">
        <v>508</v>
      </c>
      <c r="E178" s="52"/>
      <c r="F178" s="52"/>
      <c r="G178" s="40">
        <f>G179</f>
        <v>0</v>
      </c>
      <c r="H178" s="40">
        <f t="shared" si="17"/>
        <v>0</v>
      </c>
      <c r="I178" s="40">
        <f t="shared" si="17"/>
        <v>0</v>
      </c>
      <c r="J178" s="75"/>
      <c r="K178" s="68"/>
      <c r="L178" s="68"/>
      <c r="M178" s="69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</row>
    <row r="179" spans="1:29" ht="18" customHeight="1" hidden="1">
      <c r="A179" s="86" t="s">
        <v>20</v>
      </c>
      <c r="B179" s="51">
        <v>803</v>
      </c>
      <c r="C179" s="52" t="s">
        <v>807</v>
      </c>
      <c r="D179" s="52" t="s">
        <v>508</v>
      </c>
      <c r="E179" s="52" t="s">
        <v>357</v>
      </c>
      <c r="F179" s="52"/>
      <c r="G179" s="40">
        <f>G180</f>
        <v>0</v>
      </c>
      <c r="H179" s="40">
        <f t="shared" si="17"/>
        <v>0</v>
      </c>
      <c r="I179" s="40">
        <f t="shared" si="17"/>
        <v>0</v>
      </c>
      <c r="J179" s="75"/>
      <c r="K179" s="68"/>
      <c r="L179" s="68"/>
      <c r="M179" s="69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</row>
    <row r="180" spans="1:29" ht="18" customHeight="1" hidden="1">
      <c r="A180" s="81" t="s">
        <v>21</v>
      </c>
      <c r="B180" s="51">
        <v>803</v>
      </c>
      <c r="C180" s="52" t="s">
        <v>807</v>
      </c>
      <c r="D180" s="52" t="s">
        <v>508</v>
      </c>
      <c r="E180" s="52" t="s">
        <v>413</v>
      </c>
      <c r="F180" s="52"/>
      <c r="G180" s="40">
        <f>G181</f>
        <v>0</v>
      </c>
      <c r="H180" s="40">
        <f t="shared" si="17"/>
        <v>0</v>
      </c>
      <c r="I180" s="40">
        <f t="shared" si="17"/>
        <v>0</v>
      </c>
      <c r="J180" s="75"/>
      <c r="K180" s="68"/>
      <c r="L180" s="68"/>
      <c r="M180" s="69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</row>
    <row r="181" spans="1:29" ht="18" customHeight="1" hidden="1">
      <c r="A181" s="82" t="s">
        <v>361</v>
      </c>
      <c r="B181" s="51">
        <v>803</v>
      </c>
      <c r="C181" s="52" t="s">
        <v>807</v>
      </c>
      <c r="D181" s="52" t="s">
        <v>508</v>
      </c>
      <c r="E181" s="52" t="s">
        <v>413</v>
      </c>
      <c r="F181" s="52" t="s">
        <v>214</v>
      </c>
      <c r="G181" s="40"/>
      <c r="H181" s="40"/>
      <c r="I181" s="40"/>
      <c r="J181" s="75"/>
      <c r="K181" s="68"/>
      <c r="L181" s="68"/>
      <c r="M181" s="69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</row>
    <row r="182" spans="1:29" ht="18" customHeight="1" hidden="1">
      <c r="A182" s="82" t="s">
        <v>432</v>
      </c>
      <c r="B182" s="51">
        <v>803</v>
      </c>
      <c r="C182" s="52" t="s">
        <v>810</v>
      </c>
      <c r="D182" s="52"/>
      <c r="E182" s="52"/>
      <c r="F182" s="52"/>
      <c r="G182" s="40">
        <f>G183</f>
        <v>0</v>
      </c>
      <c r="H182" s="40">
        <f aca="true" t="shared" si="18" ref="H182:I185">H183</f>
        <v>0</v>
      </c>
      <c r="I182" s="40">
        <f t="shared" si="18"/>
        <v>0</v>
      </c>
      <c r="J182" s="75"/>
      <c r="K182" s="68"/>
      <c r="L182" s="68"/>
      <c r="M182" s="69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</row>
    <row r="183" spans="1:29" ht="18" customHeight="1" hidden="1">
      <c r="A183" s="85" t="s">
        <v>61</v>
      </c>
      <c r="B183" s="51">
        <v>803</v>
      </c>
      <c r="C183" s="52" t="s">
        <v>810</v>
      </c>
      <c r="D183" s="52" t="s">
        <v>530</v>
      </c>
      <c r="E183" s="52"/>
      <c r="F183" s="52"/>
      <c r="G183" s="40">
        <f>G184</f>
        <v>0</v>
      </c>
      <c r="H183" s="40">
        <f t="shared" si="18"/>
        <v>0</v>
      </c>
      <c r="I183" s="40">
        <f t="shared" si="18"/>
        <v>0</v>
      </c>
      <c r="J183" s="75"/>
      <c r="K183" s="68"/>
      <c r="L183" s="68"/>
      <c r="M183" s="69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</row>
    <row r="184" spans="1:29" ht="18" customHeight="1" hidden="1">
      <c r="A184" s="85" t="s">
        <v>249</v>
      </c>
      <c r="B184" s="51">
        <v>803</v>
      </c>
      <c r="C184" s="52" t="s">
        <v>810</v>
      </c>
      <c r="D184" s="52" t="s">
        <v>530</v>
      </c>
      <c r="E184" s="52" t="s">
        <v>434</v>
      </c>
      <c r="F184" s="52"/>
      <c r="G184" s="40">
        <f>G185</f>
        <v>0</v>
      </c>
      <c r="H184" s="40">
        <f t="shared" si="18"/>
        <v>0</v>
      </c>
      <c r="I184" s="40">
        <f t="shared" si="18"/>
        <v>0</v>
      </c>
      <c r="J184" s="75"/>
      <c r="K184" s="68"/>
      <c r="L184" s="68"/>
      <c r="M184" s="69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</row>
    <row r="185" spans="1:29" ht="18" customHeight="1" hidden="1">
      <c r="A185" s="93" t="s">
        <v>454</v>
      </c>
      <c r="B185" s="51">
        <v>803</v>
      </c>
      <c r="C185" s="52" t="s">
        <v>810</v>
      </c>
      <c r="D185" s="52" t="s">
        <v>530</v>
      </c>
      <c r="E185" s="52" t="s">
        <v>455</v>
      </c>
      <c r="F185" s="52"/>
      <c r="G185" s="40">
        <f>G186</f>
        <v>0</v>
      </c>
      <c r="H185" s="40">
        <f t="shared" si="18"/>
        <v>0</v>
      </c>
      <c r="I185" s="40">
        <f t="shared" si="18"/>
        <v>0</v>
      </c>
      <c r="J185" s="75"/>
      <c r="K185" s="68"/>
      <c r="L185" s="68"/>
      <c r="M185" s="69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</row>
    <row r="186" spans="1:29" ht="18" customHeight="1" hidden="1">
      <c r="A186" s="82" t="s">
        <v>361</v>
      </c>
      <c r="B186" s="51">
        <v>803</v>
      </c>
      <c r="C186" s="52" t="s">
        <v>810</v>
      </c>
      <c r="D186" s="52" t="s">
        <v>530</v>
      </c>
      <c r="E186" s="52" t="s">
        <v>455</v>
      </c>
      <c r="F186" s="52" t="s">
        <v>214</v>
      </c>
      <c r="G186" s="40"/>
      <c r="H186" s="40"/>
      <c r="I186" s="40"/>
      <c r="J186" s="75"/>
      <c r="K186" s="68"/>
      <c r="L186" s="68"/>
      <c r="M186" s="69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</row>
    <row r="187" spans="1:29" ht="18" customHeight="1">
      <c r="A187" s="85" t="s">
        <v>404</v>
      </c>
      <c r="B187" s="51">
        <v>803</v>
      </c>
      <c r="C187" s="52" t="s">
        <v>59</v>
      </c>
      <c r="D187" s="52"/>
      <c r="E187" s="52"/>
      <c r="F187" s="52"/>
      <c r="G187" s="40">
        <f>SUM(G188,G213,G227,G206)</f>
        <v>562969.3999999999</v>
      </c>
      <c r="H187" s="40">
        <f>SUM(H188,H213,H227,H206)</f>
        <v>540979.1000000001</v>
      </c>
      <c r="I187" s="40">
        <f>SUM(I188,I213,I227,I206)</f>
        <v>570664.0999999999</v>
      </c>
      <c r="J187" s="75"/>
      <c r="K187" s="68"/>
      <c r="L187" s="68"/>
      <c r="M187" s="69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</row>
    <row r="188" spans="1:29" ht="18" customHeight="1">
      <c r="A188" s="85" t="s">
        <v>169</v>
      </c>
      <c r="B188" s="51">
        <v>803</v>
      </c>
      <c r="C188" s="52" t="s">
        <v>59</v>
      </c>
      <c r="D188" s="52" t="s">
        <v>807</v>
      </c>
      <c r="E188" s="52"/>
      <c r="F188" s="52"/>
      <c r="G188" s="40">
        <f>SUM(G189,G195,)</f>
        <v>52739.1</v>
      </c>
      <c r="H188" s="40">
        <f>SUM(H189,H195,)</f>
        <v>3834.2</v>
      </c>
      <c r="I188" s="40">
        <f>SUM(I189,I195,)</f>
        <v>3834.2</v>
      </c>
      <c r="J188" s="75"/>
      <c r="K188" s="68"/>
      <c r="L188" s="68"/>
      <c r="M188" s="69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</row>
    <row r="189" spans="1:29" s="89" customFormat="1" ht="36.75" customHeight="1" hidden="1">
      <c r="A189" s="85" t="s">
        <v>669</v>
      </c>
      <c r="B189" s="51">
        <v>803</v>
      </c>
      <c r="C189" s="52" t="s">
        <v>414</v>
      </c>
      <c r="D189" s="52" t="s">
        <v>807</v>
      </c>
      <c r="E189" s="52" t="s">
        <v>136</v>
      </c>
      <c r="F189" s="52"/>
      <c r="G189" s="40">
        <f>G190+G192</f>
        <v>29000</v>
      </c>
      <c r="H189" s="40">
        <f>H190+H192</f>
        <v>0</v>
      </c>
      <c r="I189" s="40">
        <f>I190+I192</f>
        <v>0</v>
      </c>
      <c r="J189" s="75"/>
      <c r="K189" s="68"/>
      <c r="L189" s="68"/>
      <c r="M189" s="69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</row>
    <row r="190" spans="1:29" s="90" customFormat="1" ht="50.25" customHeight="1" hidden="1">
      <c r="A190" s="85" t="s">
        <v>578</v>
      </c>
      <c r="B190" s="51">
        <v>803</v>
      </c>
      <c r="C190" s="52" t="s">
        <v>59</v>
      </c>
      <c r="D190" s="52" t="s">
        <v>807</v>
      </c>
      <c r="E190" s="52" t="s">
        <v>137</v>
      </c>
      <c r="F190" s="52"/>
      <c r="G190" s="40">
        <f>G191</f>
        <v>0</v>
      </c>
      <c r="H190" s="40">
        <f>H191</f>
        <v>0</v>
      </c>
      <c r="I190" s="40">
        <f>I191</f>
        <v>0</v>
      </c>
      <c r="J190" s="75"/>
      <c r="K190" s="68"/>
      <c r="L190" s="68"/>
      <c r="M190" s="69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</row>
    <row r="191" spans="1:29" ht="18.75" customHeight="1" hidden="1">
      <c r="A191" s="50" t="s">
        <v>569</v>
      </c>
      <c r="B191" s="51">
        <v>803</v>
      </c>
      <c r="C191" s="52" t="s">
        <v>59</v>
      </c>
      <c r="D191" s="52" t="s">
        <v>807</v>
      </c>
      <c r="E191" s="52" t="s">
        <v>137</v>
      </c>
      <c r="F191" s="94" t="s">
        <v>271</v>
      </c>
      <c r="G191" s="40"/>
      <c r="H191" s="40"/>
      <c r="I191" s="40"/>
      <c r="J191" s="75"/>
      <c r="K191" s="68"/>
      <c r="L191" s="68"/>
      <c r="M191" s="69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</row>
    <row r="192" spans="1:29" ht="38.25" customHeight="1" hidden="1">
      <c r="A192" s="85" t="s">
        <v>670</v>
      </c>
      <c r="B192" s="51">
        <v>803</v>
      </c>
      <c r="C192" s="52" t="s">
        <v>818</v>
      </c>
      <c r="D192" s="52" t="s">
        <v>807</v>
      </c>
      <c r="E192" s="52" t="s">
        <v>281</v>
      </c>
      <c r="F192" s="52"/>
      <c r="G192" s="40">
        <f aca="true" t="shared" si="19" ref="G192:I193">SUM(G193)</f>
        <v>29000</v>
      </c>
      <c r="H192" s="40">
        <f t="shared" si="19"/>
        <v>0</v>
      </c>
      <c r="I192" s="40">
        <f t="shared" si="19"/>
        <v>0</v>
      </c>
      <c r="J192" s="75"/>
      <c r="K192" s="68"/>
      <c r="L192" s="68"/>
      <c r="M192" s="69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</row>
    <row r="193" spans="1:29" ht="36.75" customHeight="1" hidden="1">
      <c r="A193" s="85" t="s">
        <v>245</v>
      </c>
      <c r="B193" s="51">
        <v>803</v>
      </c>
      <c r="C193" s="52" t="s">
        <v>414</v>
      </c>
      <c r="D193" s="52" t="s">
        <v>807</v>
      </c>
      <c r="E193" s="52" t="s">
        <v>138</v>
      </c>
      <c r="F193" s="52"/>
      <c r="G193" s="40">
        <f t="shared" si="19"/>
        <v>29000</v>
      </c>
      <c r="H193" s="40">
        <f t="shared" si="19"/>
        <v>0</v>
      </c>
      <c r="I193" s="40">
        <f t="shared" si="19"/>
        <v>0</v>
      </c>
      <c r="J193" s="75"/>
      <c r="K193" s="68"/>
      <c r="L193" s="68"/>
      <c r="M193" s="69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</row>
    <row r="194" spans="1:36" s="89" customFormat="1" ht="20.25" customHeight="1" hidden="1">
      <c r="A194" s="50" t="s">
        <v>671</v>
      </c>
      <c r="B194" s="51">
        <v>803</v>
      </c>
      <c r="C194" s="52" t="s">
        <v>414</v>
      </c>
      <c r="D194" s="52" t="s">
        <v>807</v>
      </c>
      <c r="E194" s="52" t="s">
        <v>138</v>
      </c>
      <c r="F194" s="52" t="s">
        <v>271</v>
      </c>
      <c r="G194" s="40">
        <v>29000</v>
      </c>
      <c r="H194" s="40"/>
      <c r="I194" s="40"/>
      <c r="J194" s="75"/>
      <c r="K194" s="68"/>
      <c r="L194" s="68"/>
      <c r="M194" s="69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</row>
    <row r="195" spans="1:36" ht="18" customHeight="1">
      <c r="A195" s="85" t="s">
        <v>672</v>
      </c>
      <c r="B195" s="51">
        <v>803</v>
      </c>
      <c r="C195" s="52" t="s">
        <v>59</v>
      </c>
      <c r="D195" s="52" t="s">
        <v>807</v>
      </c>
      <c r="E195" s="52" t="s">
        <v>410</v>
      </c>
      <c r="F195" s="52"/>
      <c r="G195" s="40">
        <f>SUM(G196,G199,G201,G204)</f>
        <v>23739.1</v>
      </c>
      <c r="H195" s="40">
        <f>SUM(H196,H199,H201,H204)</f>
        <v>3834.2</v>
      </c>
      <c r="I195" s="40">
        <f>SUM(I196,I199,I201,I204)</f>
        <v>3834.2</v>
      </c>
      <c r="J195" s="75"/>
      <c r="K195" s="68"/>
      <c r="L195" s="68"/>
      <c r="M195" s="69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</row>
    <row r="196" spans="1:29" ht="19.5" customHeight="1" hidden="1">
      <c r="A196" s="85" t="s">
        <v>127</v>
      </c>
      <c r="B196" s="51">
        <v>803</v>
      </c>
      <c r="C196" s="52" t="s">
        <v>59</v>
      </c>
      <c r="D196" s="52" t="s">
        <v>807</v>
      </c>
      <c r="E196" s="52" t="s">
        <v>409</v>
      </c>
      <c r="F196" s="52"/>
      <c r="G196" s="40">
        <f>G197+G198</f>
        <v>9904.9</v>
      </c>
      <c r="H196" s="40">
        <f>H197+H198</f>
        <v>0</v>
      </c>
      <c r="I196" s="40">
        <f>I197+I198</f>
        <v>0</v>
      </c>
      <c r="J196" s="75"/>
      <c r="K196" s="68"/>
      <c r="L196" s="68"/>
      <c r="M196" s="69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</row>
    <row r="197" spans="1:29" ht="18" customHeight="1" hidden="1">
      <c r="A197" s="50" t="s">
        <v>671</v>
      </c>
      <c r="B197" s="51">
        <v>803</v>
      </c>
      <c r="C197" s="52" t="s">
        <v>59</v>
      </c>
      <c r="D197" s="52" t="s">
        <v>807</v>
      </c>
      <c r="E197" s="52" t="s">
        <v>409</v>
      </c>
      <c r="F197" s="52" t="s">
        <v>271</v>
      </c>
      <c r="G197" s="40">
        <v>4629.9</v>
      </c>
      <c r="H197" s="40"/>
      <c r="I197" s="40"/>
      <c r="J197" s="75"/>
      <c r="K197" s="68"/>
      <c r="L197" s="68"/>
      <c r="M197" s="69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</row>
    <row r="198" spans="1:29" ht="18" customHeight="1" hidden="1">
      <c r="A198" s="81" t="s">
        <v>361</v>
      </c>
      <c r="B198" s="51">
        <v>803</v>
      </c>
      <c r="C198" s="52" t="s">
        <v>59</v>
      </c>
      <c r="D198" s="52" t="s">
        <v>807</v>
      </c>
      <c r="E198" s="52" t="s">
        <v>409</v>
      </c>
      <c r="F198" s="52" t="s">
        <v>214</v>
      </c>
      <c r="G198" s="40">
        <v>5275</v>
      </c>
      <c r="H198" s="40"/>
      <c r="I198" s="40"/>
      <c r="J198" s="75"/>
      <c r="K198" s="68"/>
      <c r="L198" s="68"/>
      <c r="M198" s="69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</row>
    <row r="199" spans="1:29" ht="35.25" customHeight="1">
      <c r="A199" s="85" t="s">
        <v>469</v>
      </c>
      <c r="B199" s="51">
        <v>803</v>
      </c>
      <c r="C199" s="52" t="s">
        <v>59</v>
      </c>
      <c r="D199" s="52" t="s">
        <v>807</v>
      </c>
      <c r="E199" s="52" t="s">
        <v>411</v>
      </c>
      <c r="F199" s="52"/>
      <c r="G199" s="40">
        <f>SUM(G200)</f>
        <v>3834.2</v>
      </c>
      <c r="H199" s="40">
        <f>SUM(H200)</f>
        <v>3834.2</v>
      </c>
      <c r="I199" s="40">
        <f>SUM(I200)</f>
        <v>3834.2</v>
      </c>
      <c r="J199" s="75"/>
      <c r="K199" s="68"/>
      <c r="L199" s="68"/>
      <c r="M199" s="69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</row>
    <row r="200" spans="1:29" ht="20.25" customHeight="1">
      <c r="A200" s="50" t="s">
        <v>671</v>
      </c>
      <c r="B200" s="51">
        <v>803</v>
      </c>
      <c r="C200" s="52" t="s">
        <v>59</v>
      </c>
      <c r="D200" s="52" t="s">
        <v>807</v>
      </c>
      <c r="E200" s="52" t="s">
        <v>411</v>
      </c>
      <c r="F200" s="52" t="s">
        <v>271</v>
      </c>
      <c r="G200" s="40">
        <v>3834.2</v>
      </c>
      <c r="H200" s="40">
        <v>3834.2</v>
      </c>
      <c r="I200" s="40">
        <v>3834.2</v>
      </c>
      <c r="J200" s="75"/>
      <c r="K200" s="68"/>
      <c r="L200" s="68"/>
      <c r="M200" s="69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</row>
    <row r="201" spans="1:29" ht="18" customHeight="1" hidden="1">
      <c r="A201" s="85" t="s">
        <v>12</v>
      </c>
      <c r="B201" s="51">
        <v>803</v>
      </c>
      <c r="C201" s="52" t="s">
        <v>59</v>
      </c>
      <c r="D201" s="52" t="s">
        <v>807</v>
      </c>
      <c r="E201" s="52" t="s">
        <v>412</v>
      </c>
      <c r="F201" s="52"/>
      <c r="G201" s="40">
        <f>SUM(G202:G203)</f>
        <v>0</v>
      </c>
      <c r="H201" s="40">
        <f>SUM(H202:H203)</f>
        <v>0</v>
      </c>
      <c r="I201" s="40">
        <f>SUM(I202:I203)</f>
        <v>0</v>
      </c>
      <c r="J201" s="75"/>
      <c r="K201" s="68"/>
      <c r="L201" s="68"/>
      <c r="M201" s="69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</row>
    <row r="202" spans="1:29" ht="18" customHeight="1" hidden="1">
      <c r="A202" s="50" t="s">
        <v>569</v>
      </c>
      <c r="B202" s="51">
        <v>803</v>
      </c>
      <c r="C202" s="52" t="s">
        <v>59</v>
      </c>
      <c r="D202" s="52" t="s">
        <v>807</v>
      </c>
      <c r="E202" s="52" t="s">
        <v>412</v>
      </c>
      <c r="F202" s="52" t="s">
        <v>271</v>
      </c>
      <c r="G202" s="40"/>
      <c r="H202" s="40"/>
      <c r="I202" s="40"/>
      <c r="J202" s="75"/>
      <c r="K202" s="68"/>
      <c r="L202" s="68"/>
      <c r="M202" s="69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</row>
    <row r="203" spans="1:29" ht="17.25" customHeight="1" hidden="1">
      <c r="A203" s="50" t="s">
        <v>256</v>
      </c>
      <c r="B203" s="51">
        <v>803</v>
      </c>
      <c r="C203" s="52" t="s">
        <v>59</v>
      </c>
      <c r="D203" s="52" t="s">
        <v>807</v>
      </c>
      <c r="E203" s="52" t="s">
        <v>412</v>
      </c>
      <c r="F203" s="52" t="s">
        <v>257</v>
      </c>
      <c r="G203" s="40"/>
      <c r="H203" s="40"/>
      <c r="I203" s="40"/>
      <c r="J203" s="75"/>
      <c r="K203" s="68"/>
      <c r="L203" s="68"/>
      <c r="M203" s="69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</row>
    <row r="204" spans="1:29" ht="54.75" customHeight="1" hidden="1">
      <c r="A204" s="85" t="s">
        <v>436</v>
      </c>
      <c r="B204" s="51">
        <v>803</v>
      </c>
      <c r="C204" s="52" t="s">
        <v>59</v>
      </c>
      <c r="D204" s="52" t="s">
        <v>807</v>
      </c>
      <c r="E204" s="52" t="s">
        <v>437</v>
      </c>
      <c r="F204" s="52"/>
      <c r="G204" s="40">
        <f>G205</f>
        <v>10000</v>
      </c>
      <c r="H204" s="40">
        <f>H205</f>
        <v>0</v>
      </c>
      <c r="I204" s="40">
        <f>I205</f>
        <v>0</v>
      </c>
      <c r="J204" s="75"/>
      <c r="K204" s="68"/>
      <c r="L204" s="68"/>
      <c r="M204" s="69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</row>
    <row r="205" spans="1:29" ht="17.25" customHeight="1" hidden="1">
      <c r="A205" s="50" t="s">
        <v>671</v>
      </c>
      <c r="B205" s="51">
        <v>803</v>
      </c>
      <c r="C205" s="52" t="s">
        <v>59</v>
      </c>
      <c r="D205" s="52" t="s">
        <v>807</v>
      </c>
      <c r="E205" s="52" t="s">
        <v>437</v>
      </c>
      <c r="F205" s="52" t="s">
        <v>271</v>
      </c>
      <c r="G205" s="40">
        <v>10000</v>
      </c>
      <c r="H205" s="40"/>
      <c r="I205" s="40"/>
      <c r="J205" s="75"/>
      <c r="K205" s="68"/>
      <c r="L205" s="68"/>
      <c r="M205" s="69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</row>
    <row r="206" spans="1:29" ht="17.25" customHeight="1">
      <c r="A206" s="50" t="s">
        <v>673</v>
      </c>
      <c r="B206" s="51">
        <v>803</v>
      </c>
      <c r="C206" s="52" t="s">
        <v>59</v>
      </c>
      <c r="D206" s="52" t="s">
        <v>808</v>
      </c>
      <c r="E206" s="52"/>
      <c r="F206" s="52"/>
      <c r="G206" s="40">
        <f>G207+G210</f>
        <v>3500</v>
      </c>
      <c r="H206" s="40">
        <f>H207+H210</f>
        <v>2300</v>
      </c>
      <c r="I206" s="40">
        <f>I207+I210</f>
        <v>4320</v>
      </c>
      <c r="J206" s="75"/>
      <c r="K206" s="68"/>
      <c r="L206" s="68"/>
      <c r="M206" s="69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</row>
    <row r="207" spans="1:29" ht="17.25" customHeight="1" hidden="1">
      <c r="A207" s="85" t="s">
        <v>675</v>
      </c>
      <c r="B207" s="51">
        <v>803</v>
      </c>
      <c r="C207" s="52" t="s">
        <v>59</v>
      </c>
      <c r="D207" s="52" t="s">
        <v>808</v>
      </c>
      <c r="E207" s="52" t="s">
        <v>218</v>
      </c>
      <c r="F207" s="52"/>
      <c r="G207" s="40">
        <f aca="true" t="shared" si="20" ref="G207:I208">G208</f>
        <v>3500</v>
      </c>
      <c r="H207" s="40">
        <f t="shared" si="20"/>
        <v>0</v>
      </c>
      <c r="I207" s="40">
        <f t="shared" si="20"/>
        <v>0</v>
      </c>
      <c r="J207" s="75"/>
      <c r="K207" s="68"/>
      <c r="L207" s="68"/>
      <c r="M207" s="69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</row>
    <row r="208" spans="1:29" ht="36" customHeight="1" hidden="1">
      <c r="A208" s="85" t="s">
        <v>99</v>
      </c>
      <c r="B208" s="51">
        <v>803</v>
      </c>
      <c r="C208" s="52" t="s">
        <v>59</v>
      </c>
      <c r="D208" s="52" t="s">
        <v>808</v>
      </c>
      <c r="E208" s="52" t="s">
        <v>219</v>
      </c>
      <c r="F208" s="52"/>
      <c r="G208" s="40">
        <f t="shared" si="20"/>
        <v>3500</v>
      </c>
      <c r="H208" s="40">
        <f t="shared" si="20"/>
        <v>0</v>
      </c>
      <c r="I208" s="40">
        <f t="shared" si="20"/>
        <v>0</v>
      </c>
      <c r="J208" s="75"/>
      <c r="K208" s="68"/>
      <c r="L208" s="68"/>
      <c r="M208" s="69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</row>
    <row r="209" spans="1:29" ht="17.25" customHeight="1" hidden="1">
      <c r="A209" s="50" t="s">
        <v>671</v>
      </c>
      <c r="B209" s="51">
        <v>803</v>
      </c>
      <c r="C209" s="52" t="s">
        <v>59</v>
      </c>
      <c r="D209" s="52" t="s">
        <v>808</v>
      </c>
      <c r="E209" s="52" t="s">
        <v>219</v>
      </c>
      <c r="F209" s="52" t="s">
        <v>271</v>
      </c>
      <c r="G209" s="40">
        <v>3500</v>
      </c>
      <c r="H209" s="40"/>
      <c r="I209" s="40"/>
      <c r="J209" s="75"/>
      <c r="K209" s="68"/>
      <c r="L209" s="68"/>
      <c r="M209" s="69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</row>
    <row r="210" spans="1:29" ht="17.25" customHeight="1">
      <c r="A210" s="82" t="s">
        <v>394</v>
      </c>
      <c r="B210" s="51">
        <v>803</v>
      </c>
      <c r="C210" s="52" t="s">
        <v>59</v>
      </c>
      <c r="D210" s="52" t="s">
        <v>808</v>
      </c>
      <c r="E210" s="52" t="s">
        <v>395</v>
      </c>
      <c r="F210" s="52"/>
      <c r="G210" s="40">
        <f aca="true" t="shared" si="21" ref="G210:I211">G211</f>
        <v>0</v>
      </c>
      <c r="H210" s="40">
        <f t="shared" si="21"/>
        <v>2300</v>
      </c>
      <c r="I210" s="40">
        <f t="shared" si="21"/>
        <v>4320</v>
      </c>
      <c r="J210" s="75"/>
      <c r="K210" s="68"/>
      <c r="L210" s="68"/>
      <c r="M210" s="69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</row>
    <row r="211" spans="1:29" ht="53.25" customHeight="1">
      <c r="A211" s="50" t="s">
        <v>768</v>
      </c>
      <c r="B211" s="51">
        <v>803</v>
      </c>
      <c r="C211" s="52" t="s">
        <v>59</v>
      </c>
      <c r="D211" s="52" t="s">
        <v>808</v>
      </c>
      <c r="E211" s="52" t="s">
        <v>450</v>
      </c>
      <c r="F211" s="52"/>
      <c r="G211" s="40">
        <f t="shared" si="21"/>
        <v>0</v>
      </c>
      <c r="H211" s="40">
        <f t="shared" si="21"/>
        <v>2300</v>
      </c>
      <c r="I211" s="40">
        <f t="shared" si="21"/>
        <v>4320</v>
      </c>
      <c r="J211" s="75"/>
      <c r="K211" s="68"/>
      <c r="L211" s="68"/>
      <c r="M211" s="69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</row>
    <row r="212" spans="1:29" ht="17.25" customHeight="1">
      <c r="A212" s="81" t="s">
        <v>361</v>
      </c>
      <c r="B212" s="51">
        <v>803</v>
      </c>
      <c r="C212" s="52" t="s">
        <v>59</v>
      </c>
      <c r="D212" s="52" t="s">
        <v>808</v>
      </c>
      <c r="E212" s="52" t="s">
        <v>450</v>
      </c>
      <c r="F212" s="52" t="s">
        <v>214</v>
      </c>
      <c r="G212" s="40"/>
      <c r="H212" s="40">
        <v>2300</v>
      </c>
      <c r="I212" s="40">
        <v>4320</v>
      </c>
      <c r="J212" s="75"/>
      <c r="K212" s="68"/>
      <c r="L212" s="68"/>
      <c r="M212" s="69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</row>
    <row r="213" spans="1:29" ht="21" customHeight="1">
      <c r="A213" s="50" t="s">
        <v>129</v>
      </c>
      <c r="B213" s="51">
        <v>803</v>
      </c>
      <c r="C213" s="52" t="s">
        <v>59</v>
      </c>
      <c r="D213" s="52" t="s">
        <v>809</v>
      </c>
      <c r="E213" s="52"/>
      <c r="F213" s="52"/>
      <c r="G213" s="40">
        <f>SUM(,G214,)</f>
        <v>490757.6</v>
      </c>
      <c r="H213" s="40">
        <f>SUM(,H214,)</f>
        <v>518861.4</v>
      </c>
      <c r="I213" s="40">
        <f>SUM(,I214,)</f>
        <v>546516.0999999999</v>
      </c>
      <c r="J213" s="75"/>
      <c r="K213" s="68"/>
      <c r="L213" s="68"/>
      <c r="M213" s="69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</row>
    <row r="214" spans="1:29" ht="18" customHeight="1">
      <c r="A214" s="86" t="s">
        <v>416</v>
      </c>
      <c r="B214" s="51">
        <v>803</v>
      </c>
      <c r="C214" s="52" t="s">
        <v>59</v>
      </c>
      <c r="D214" s="52" t="s">
        <v>809</v>
      </c>
      <c r="E214" s="52" t="s">
        <v>417</v>
      </c>
      <c r="F214" s="52"/>
      <c r="G214" s="40">
        <f>G215+G218+G221+G223</f>
        <v>490757.6</v>
      </c>
      <c r="H214" s="40">
        <f>H215+H218+H221+H223</f>
        <v>518861.4</v>
      </c>
      <c r="I214" s="40">
        <f>I215+I218+I221+I223</f>
        <v>546516.0999999999</v>
      </c>
      <c r="J214" s="75"/>
      <c r="K214" s="68"/>
      <c r="L214" s="68"/>
      <c r="M214" s="69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</row>
    <row r="215" spans="1:29" ht="18" customHeight="1">
      <c r="A215" s="85" t="s">
        <v>490</v>
      </c>
      <c r="B215" s="51">
        <v>803</v>
      </c>
      <c r="C215" s="52" t="s">
        <v>59</v>
      </c>
      <c r="D215" s="52" t="s">
        <v>809</v>
      </c>
      <c r="E215" s="52" t="s">
        <v>418</v>
      </c>
      <c r="F215" s="52"/>
      <c r="G215" s="40">
        <f>G216+G217</f>
        <v>53995.2</v>
      </c>
      <c r="H215" s="40">
        <f>H216+H217</f>
        <v>59658.3</v>
      </c>
      <c r="I215" s="40">
        <f>I216+I217</f>
        <v>65921.4</v>
      </c>
      <c r="J215" s="75"/>
      <c r="K215" s="68"/>
      <c r="L215" s="68"/>
      <c r="M215" s="69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</row>
    <row r="216" spans="1:29" ht="18" customHeight="1">
      <c r="A216" s="50" t="s">
        <v>569</v>
      </c>
      <c r="B216" s="51">
        <v>803</v>
      </c>
      <c r="C216" s="52" t="s">
        <v>59</v>
      </c>
      <c r="D216" s="52" t="s">
        <v>809</v>
      </c>
      <c r="E216" s="52" t="s">
        <v>418</v>
      </c>
      <c r="F216" s="52" t="s">
        <v>271</v>
      </c>
      <c r="G216" s="40">
        <v>24360.7</v>
      </c>
      <c r="H216" s="40">
        <v>25578.7</v>
      </c>
      <c r="I216" s="40">
        <v>26729.8</v>
      </c>
      <c r="J216" s="75"/>
      <c r="K216" s="68"/>
      <c r="L216" s="68"/>
      <c r="M216" s="69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</row>
    <row r="217" spans="1:29" ht="18" customHeight="1">
      <c r="A217" s="82" t="s">
        <v>361</v>
      </c>
      <c r="B217" s="51">
        <v>803</v>
      </c>
      <c r="C217" s="52" t="s">
        <v>59</v>
      </c>
      <c r="D217" s="52" t="s">
        <v>809</v>
      </c>
      <c r="E217" s="52" t="s">
        <v>418</v>
      </c>
      <c r="F217" s="52" t="s">
        <v>214</v>
      </c>
      <c r="G217" s="40">
        <v>29634.5</v>
      </c>
      <c r="H217" s="40">
        <v>34079.6</v>
      </c>
      <c r="I217" s="40">
        <v>39191.6</v>
      </c>
      <c r="J217" s="75"/>
      <c r="K217" s="68"/>
      <c r="L217" s="68"/>
      <c r="M217" s="69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</row>
    <row r="218" spans="1:29" ht="36" customHeight="1">
      <c r="A218" s="50" t="s">
        <v>419</v>
      </c>
      <c r="B218" s="51">
        <v>803</v>
      </c>
      <c r="C218" s="52" t="s">
        <v>59</v>
      </c>
      <c r="D218" s="52" t="s">
        <v>809</v>
      </c>
      <c r="E218" s="52" t="s">
        <v>420</v>
      </c>
      <c r="F218" s="52"/>
      <c r="G218" s="40">
        <f>G219+G220</f>
        <v>419035.89999999997</v>
      </c>
      <c r="H218" s="40">
        <f>H219+H220</f>
        <v>440585.9</v>
      </c>
      <c r="I218" s="40">
        <f>I219+I220</f>
        <v>461134.39999999997</v>
      </c>
      <c r="J218" s="75"/>
      <c r="K218" s="68"/>
      <c r="L218" s="68"/>
      <c r="M218" s="69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</row>
    <row r="219" spans="1:29" ht="20.25" customHeight="1">
      <c r="A219" s="50" t="s">
        <v>569</v>
      </c>
      <c r="B219" s="51">
        <v>803</v>
      </c>
      <c r="C219" s="52" t="s">
        <v>59</v>
      </c>
      <c r="D219" s="52" t="s">
        <v>809</v>
      </c>
      <c r="E219" s="52" t="s">
        <v>420</v>
      </c>
      <c r="F219" s="52" t="s">
        <v>271</v>
      </c>
      <c r="G219" s="40">
        <v>2493.6</v>
      </c>
      <c r="H219" s="40">
        <v>2618.2</v>
      </c>
      <c r="I219" s="40">
        <v>2736.1</v>
      </c>
      <c r="J219" s="75"/>
      <c r="K219" s="68"/>
      <c r="L219" s="68"/>
      <c r="M219" s="69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</row>
    <row r="220" spans="1:29" ht="18" customHeight="1">
      <c r="A220" s="82" t="s">
        <v>361</v>
      </c>
      <c r="B220" s="51">
        <v>803</v>
      </c>
      <c r="C220" s="52" t="s">
        <v>59</v>
      </c>
      <c r="D220" s="52" t="s">
        <v>809</v>
      </c>
      <c r="E220" s="52" t="s">
        <v>420</v>
      </c>
      <c r="F220" s="52" t="s">
        <v>214</v>
      </c>
      <c r="G220" s="40">
        <v>416542.3</v>
      </c>
      <c r="H220" s="40">
        <v>437967.7</v>
      </c>
      <c r="I220" s="40">
        <v>458398.3</v>
      </c>
      <c r="J220" s="75"/>
      <c r="K220" s="68"/>
      <c r="L220" s="68"/>
      <c r="M220" s="69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</row>
    <row r="221" spans="1:29" ht="18" customHeight="1">
      <c r="A221" s="50" t="s">
        <v>421</v>
      </c>
      <c r="B221" s="51">
        <v>803</v>
      </c>
      <c r="C221" s="52" t="s">
        <v>59</v>
      </c>
      <c r="D221" s="52" t="s">
        <v>809</v>
      </c>
      <c r="E221" s="52" t="s">
        <v>422</v>
      </c>
      <c r="F221" s="52"/>
      <c r="G221" s="40">
        <f>SUM(G222)</f>
        <v>15026.4</v>
      </c>
      <c r="H221" s="40">
        <f>SUM(H222)</f>
        <v>15777.7</v>
      </c>
      <c r="I221" s="40">
        <f>SUM(I222)</f>
        <v>16487.7</v>
      </c>
      <c r="J221" s="75"/>
      <c r="K221" s="68"/>
      <c r="L221" s="68"/>
      <c r="M221" s="69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</row>
    <row r="222" spans="1:29" ht="18" customHeight="1">
      <c r="A222" s="82" t="s">
        <v>361</v>
      </c>
      <c r="B222" s="51">
        <v>803</v>
      </c>
      <c r="C222" s="52" t="s">
        <v>59</v>
      </c>
      <c r="D222" s="52" t="s">
        <v>809</v>
      </c>
      <c r="E222" s="52" t="s">
        <v>422</v>
      </c>
      <c r="F222" s="52" t="s">
        <v>214</v>
      </c>
      <c r="G222" s="40">
        <v>15026.4</v>
      </c>
      <c r="H222" s="40">
        <v>15777.7</v>
      </c>
      <c r="I222" s="40">
        <v>16487.7</v>
      </c>
      <c r="J222" s="75"/>
      <c r="K222" s="68"/>
      <c r="L222" s="68"/>
      <c r="M222" s="69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</row>
    <row r="223" spans="1:29" ht="18" customHeight="1">
      <c r="A223" s="50" t="s">
        <v>528</v>
      </c>
      <c r="B223" s="51">
        <v>803</v>
      </c>
      <c r="C223" s="52" t="s">
        <v>59</v>
      </c>
      <c r="D223" s="52" t="s">
        <v>809</v>
      </c>
      <c r="E223" s="52" t="s">
        <v>423</v>
      </c>
      <c r="F223" s="52"/>
      <c r="G223" s="40">
        <f>SUM(G224)</f>
        <v>2700.1</v>
      </c>
      <c r="H223" s="40">
        <f>SUM(H224)</f>
        <v>2839.5</v>
      </c>
      <c r="I223" s="40">
        <f>SUM(I224)</f>
        <v>2972.6</v>
      </c>
      <c r="J223" s="75"/>
      <c r="K223" s="68"/>
      <c r="L223" s="68"/>
      <c r="M223" s="69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</row>
    <row r="224" spans="1:29" ht="21" customHeight="1">
      <c r="A224" s="82" t="s">
        <v>361</v>
      </c>
      <c r="B224" s="51">
        <v>803</v>
      </c>
      <c r="C224" s="52" t="s">
        <v>59</v>
      </c>
      <c r="D224" s="52" t="s">
        <v>809</v>
      </c>
      <c r="E224" s="52" t="s">
        <v>423</v>
      </c>
      <c r="F224" s="52" t="s">
        <v>214</v>
      </c>
      <c r="G224" s="40">
        <v>2700.1</v>
      </c>
      <c r="H224" s="40">
        <v>2839.5</v>
      </c>
      <c r="I224" s="40">
        <v>2972.6</v>
      </c>
      <c r="J224" s="75"/>
      <c r="K224" s="68"/>
      <c r="L224" s="68"/>
      <c r="M224" s="69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</row>
    <row r="225" spans="1:29" ht="19.5" customHeight="1" hidden="1">
      <c r="A225" s="50" t="s">
        <v>489</v>
      </c>
      <c r="B225" s="51">
        <v>803</v>
      </c>
      <c r="C225" s="52" t="s">
        <v>59</v>
      </c>
      <c r="D225" s="52" t="s">
        <v>809</v>
      </c>
      <c r="E225" s="52" t="s">
        <v>424</v>
      </c>
      <c r="F225" s="52"/>
      <c r="G225" s="40">
        <f>SUM(G226)</f>
        <v>0</v>
      </c>
      <c r="H225" s="40">
        <f>SUM(H226)</f>
        <v>0</v>
      </c>
      <c r="I225" s="40">
        <f>SUM(I226)</f>
        <v>0</v>
      </c>
      <c r="J225" s="75"/>
      <c r="K225" s="68"/>
      <c r="L225" s="68"/>
      <c r="M225" s="69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</row>
    <row r="226" spans="1:29" ht="18" customHeight="1" hidden="1">
      <c r="A226" s="82" t="s">
        <v>361</v>
      </c>
      <c r="B226" s="51">
        <v>803</v>
      </c>
      <c r="C226" s="52" t="s">
        <v>59</v>
      </c>
      <c r="D226" s="52" t="s">
        <v>809</v>
      </c>
      <c r="E226" s="52" t="s">
        <v>424</v>
      </c>
      <c r="F226" s="52" t="s">
        <v>214</v>
      </c>
      <c r="G226" s="40"/>
      <c r="H226" s="40"/>
      <c r="I226" s="40"/>
      <c r="J226" s="75"/>
      <c r="K226" s="68"/>
      <c r="L226" s="68"/>
      <c r="M226" s="69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</row>
    <row r="227" spans="1:29" ht="18" customHeight="1">
      <c r="A227" s="85" t="s">
        <v>425</v>
      </c>
      <c r="B227" s="51">
        <v>803</v>
      </c>
      <c r="C227" s="52" t="s">
        <v>59</v>
      </c>
      <c r="D227" s="52" t="s">
        <v>59</v>
      </c>
      <c r="E227" s="52"/>
      <c r="F227" s="52"/>
      <c r="G227" s="40">
        <f>G230</f>
        <v>15972.699999999999</v>
      </c>
      <c r="H227" s="40">
        <f>H230</f>
        <v>15983.5</v>
      </c>
      <c r="I227" s="40">
        <f>I230</f>
        <v>15993.8</v>
      </c>
      <c r="J227" s="75"/>
      <c r="K227" s="68"/>
      <c r="L227" s="68"/>
      <c r="M227" s="69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</row>
    <row r="228" spans="1:29" ht="36.75" customHeight="1">
      <c r="A228" s="81" t="s">
        <v>42</v>
      </c>
      <c r="B228" s="51">
        <v>803</v>
      </c>
      <c r="C228" s="52" t="s">
        <v>59</v>
      </c>
      <c r="D228" s="52" t="s">
        <v>59</v>
      </c>
      <c r="E228" s="52" t="s">
        <v>43</v>
      </c>
      <c r="F228" s="52"/>
      <c r="G228" s="40">
        <f aca="true" t="shared" si="22" ref="G228:I229">SUM(G229)</f>
        <v>15972.699999999999</v>
      </c>
      <c r="H228" s="40">
        <f t="shared" si="22"/>
        <v>15983.5</v>
      </c>
      <c r="I228" s="40">
        <f t="shared" si="22"/>
        <v>15993.8</v>
      </c>
      <c r="J228" s="75"/>
      <c r="K228" s="68"/>
      <c r="L228" s="68"/>
      <c r="M228" s="69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</row>
    <row r="229" spans="1:29" ht="19.5" customHeight="1">
      <c r="A229" s="81" t="s">
        <v>47</v>
      </c>
      <c r="B229" s="51">
        <v>803</v>
      </c>
      <c r="C229" s="52" t="s">
        <v>59</v>
      </c>
      <c r="D229" s="52" t="s">
        <v>59</v>
      </c>
      <c r="E229" s="52" t="s">
        <v>45</v>
      </c>
      <c r="F229" s="52"/>
      <c r="G229" s="40">
        <f t="shared" si="22"/>
        <v>15972.699999999999</v>
      </c>
      <c r="H229" s="40">
        <f t="shared" si="22"/>
        <v>15983.5</v>
      </c>
      <c r="I229" s="40">
        <f t="shared" si="22"/>
        <v>15993.8</v>
      </c>
      <c r="J229" s="75"/>
      <c r="K229" s="68"/>
      <c r="L229" s="68"/>
      <c r="M229" s="69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</row>
    <row r="230" spans="1:29" s="89" customFormat="1" ht="18" customHeight="1">
      <c r="A230" s="82" t="s">
        <v>361</v>
      </c>
      <c r="B230" s="51">
        <v>803</v>
      </c>
      <c r="C230" s="52" t="s">
        <v>59</v>
      </c>
      <c r="D230" s="52" t="s">
        <v>59</v>
      </c>
      <c r="E230" s="52" t="s">
        <v>45</v>
      </c>
      <c r="F230" s="52" t="s">
        <v>214</v>
      </c>
      <c r="G230" s="40">
        <f>15295.3+723.5-46.1</f>
        <v>15972.699999999999</v>
      </c>
      <c r="H230" s="40">
        <f>15306.1+723.5-46.1</f>
        <v>15983.5</v>
      </c>
      <c r="I230" s="40">
        <f>15316.4+723.5-46.1</f>
        <v>15993.8</v>
      </c>
      <c r="J230" s="75"/>
      <c r="K230" s="68"/>
      <c r="L230" s="68"/>
      <c r="M230" s="69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</row>
    <row r="231" spans="1:29" s="95" customFormat="1" ht="18" customHeight="1" hidden="1">
      <c r="A231" s="85" t="s">
        <v>378</v>
      </c>
      <c r="B231" s="51">
        <v>803</v>
      </c>
      <c r="C231" s="52" t="s">
        <v>529</v>
      </c>
      <c r="D231" s="52"/>
      <c r="E231" s="52"/>
      <c r="F231" s="52"/>
      <c r="G231" s="40">
        <f>G232</f>
        <v>0</v>
      </c>
      <c r="H231" s="40">
        <f aca="true" t="shared" si="23" ref="H231:I234">H232</f>
        <v>0</v>
      </c>
      <c r="I231" s="40">
        <f t="shared" si="23"/>
        <v>0</v>
      </c>
      <c r="J231" s="75"/>
      <c r="K231" s="68"/>
      <c r="L231" s="68"/>
      <c r="M231" s="69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</row>
    <row r="232" spans="1:29" s="95" customFormat="1" ht="18" customHeight="1" hidden="1">
      <c r="A232" s="85" t="s">
        <v>250</v>
      </c>
      <c r="B232" s="51">
        <v>803</v>
      </c>
      <c r="C232" s="52" t="s">
        <v>529</v>
      </c>
      <c r="D232" s="52" t="s">
        <v>529</v>
      </c>
      <c r="E232" s="52"/>
      <c r="F232" s="52"/>
      <c r="G232" s="40">
        <f>G233</f>
        <v>0</v>
      </c>
      <c r="H232" s="40">
        <f t="shared" si="23"/>
        <v>0</v>
      </c>
      <c r="I232" s="40">
        <f t="shared" si="23"/>
        <v>0</v>
      </c>
      <c r="J232" s="75"/>
      <c r="K232" s="68"/>
      <c r="L232" s="68"/>
      <c r="M232" s="69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</row>
    <row r="233" spans="1:29" s="95" customFormat="1" ht="18" customHeight="1" hidden="1">
      <c r="A233" s="81" t="s">
        <v>226</v>
      </c>
      <c r="B233" s="51">
        <v>803</v>
      </c>
      <c r="C233" s="52" t="s">
        <v>529</v>
      </c>
      <c r="D233" s="52" t="s">
        <v>529</v>
      </c>
      <c r="E233" s="52" t="s">
        <v>494</v>
      </c>
      <c r="F233" s="52"/>
      <c r="G233" s="40">
        <f>G234</f>
        <v>0</v>
      </c>
      <c r="H233" s="40">
        <f t="shared" si="23"/>
        <v>0</v>
      </c>
      <c r="I233" s="40">
        <f t="shared" si="23"/>
        <v>0</v>
      </c>
      <c r="J233" s="75"/>
      <c r="K233" s="68"/>
      <c r="L233" s="68"/>
      <c r="M233" s="69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</row>
    <row r="234" spans="1:29" s="95" customFormat="1" ht="18" customHeight="1" hidden="1">
      <c r="A234" s="86" t="s">
        <v>323</v>
      </c>
      <c r="B234" s="51">
        <v>803</v>
      </c>
      <c r="C234" s="52" t="s">
        <v>529</v>
      </c>
      <c r="D234" s="52" t="s">
        <v>529</v>
      </c>
      <c r="E234" s="52" t="s">
        <v>537</v>
      </c>
      <c r="F234" s="52"/>
      <c r="G234" s="40">
        <f>G235</f>
        <v>0</v>
      </c>
      <c r="H234" s="40">
        <f t="shared" si="23"/>
        <v>0</v>
      </c>
      <c r="I234" s="40">
        <f t="shared" si="23"/>
        <v>0</v>
      </c>
      <c r="J234" s="75"/>
      <c r="K234" s="68"/>
      <c r="L234" s="68"/>
      <c r="M234" s="69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</row>
    <row r="235" spans="1:29" s="95" customFormat="1" ht="18" customHeight="1" hidden="1">
      <c r="A235" s="85" t="s">
        <v>560</v>
      </c>
      <c r="B235" s="51">
        <v>803</v>
      </c>
      <c r="C235" s="52" t="s">
        <v>529</v>
      </c>
      <c r="D235" s="52" t="s">
        <v>529</v>
      </c>
      <c r="E235" s="52" t="s">
        <v>537</v>
      </c>
      <c r="F235" s="52" t="s">
        <v>559</v>
      </c>
      <c r="G235" s="40"/>
      <c r="H235" s="40"/>
      <c r="I235" s="40"/>
      <c r="J235" s="75"/>
      <c r="K235" s="68"/>
      <c r="L235" s="68"/>
      <c r="M235" s="69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</row>
    <row r="236" spans="1:29" s="90" customFormat="1" ht="18" customHeight="1">
      <c r="A236" s="85" t="s">
        <v>427</v>
      </c>
      <c r="B236" s="51">
        <v>803</v>
      </c>
      <c r="C236" s="52" t="s">
        <v>492</v>
      </c>
      <c r="D236" s="52"/>
      <c r="E236" s="52"/>
      <c r="F236" s="52"/>
      <c r="G236" s="40">
        <f>G237+G242</f>
        <v>507</v>
      </c>
      <c r="H236" s="40">
        <f>H237+H242</f>
        <v>166.5</v>
      </c>
      <c r="I236" s="40">
        <f>I237+I242</f>
        <v>618.2</v>
      </c>
      <c r="J236" s="75"/>
      <c r="K236" s="68"/>
      <c r="L236" s="68"/>
      <c r="M236" s="69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</row>
    <row r="237" spans="1:29" ht="18" customHeight="1">
      <c r="A237" s="85" t="s">
        <v>387</v>
      </c>
      <c r="B237" s="51">
        <v>803</v>
      </c>
      <c r="C237" s="52" t="s">
        <v>492</v>
      </c>
      <c r="D237" s="52" t="s">
        <v>809</v>
      </c>
      <c r="E237" s="52"/>
      <c r="F237" s="52"/>
      <c r="G237" s="40">
        <f>SUM(G238)</f>
        <v>62.2</v>
      </c>
      <c r="H237" s="40">
        <f aca="true" t="shared" si="24" ref="H237:I240">SUM(H238)</f>
        <v>65.3</v>
      </c>
      <c r="I237" s="40">
        <f t="shared" si="24"/>
        <v>68.2</v>
      </c>
      <c r="J237" s="75"/>
      <c r="K237" s="68"/>
      <c r="L237" s="68"/>
      <c r="M237" s="69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</row>
    <row r="238" spans="1:29" ht="21" customHeight="1">
      <c r="A238" s="50" t="s">
        <v>428</v>
      </c>
      <c r="B238" s="51">
        <v>803</v>
      </c>
      <c r="C238" s="52" t="s">
        <v>492</v>
      </c>
      <c r="D238" s="52" t="s">
        <v>809</v>
      </c>
      <c r="E238" s="52" t="s">
        <v>430</v>
      </c>
      <c r="F238" s="52"/>
      <c r="G238" s="40">
        <f>SUM(G239)</f>
        <v>62.2</v>
      </c>
      <c r="H238" s="40">
        <f t="shared" si="24"/>
        <v>65.3</v>
      </c>
      <c r="I238" s="40">
        <f t="shared" si="24"/>
        <v>68.2</v>
      </c>
      <c r="J238" s="75"/>
      <c r="K238" s="68"/>
      <c r="L238" s="68"/>
      <c r="M238" s="69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</row>
    <row r="239" spans="1:29" ht="21" customHeight="1">
      <c r="A239" s="86" t="s">
        <v>193</v>
      </c>
      <c r="B239" s="51">
        <v>803</v>
      </c>
      <c r="C239" s="52" t="s">
        <v>492</v>
      </c>
      <c r="D239" s="52" t="s">
        <v>809</v>
      </c>
      <c r="E239" s="52" t="s">
        <v>431</v>
      </c>
      <c r="F239" s="52"/>
      <c r="G239" s="40">
        <f>SUM(G240)</f>
        <v>62.2</v>
      </c>
      <c r="H239" s="40">
        <f t="shared" si="24"/>
        <v>65.3</v>
      </c>
      <c r="I239" s="40">
        <f t="shared" si="24"/>
        <v>68.2</v>
      </c>
      <c r="J239" s="75"/>
      <c r="K239" s="68"/>
      <c r="L239" s="68"/>
      <c r="M239" s="69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</row>
    <row r="240" spans="1:29" ht="18" customHeight="1">
      <c r="A240" s="81" t="s">
        <v>75</v>
      </c>
      <c r="B240" s="51">
        <v>803</v>
      </c>
      <c r="C240" s="52" t="s">
        <v>492</v>
      </c>
      <c r="D240" s="52" t="s">
        <v>809</v>
      </c>
      <c r="E240" s="52" t="s">
        <v>812</v>
      </c>
      <c r="F240" s="52"/>
      <c r="G240" s="40">
        <f>SUM(G241)</f>
        <v>62.2</v>
      </c>
      <c r="H240" s="40">
        <f t="shared" si="24"/>
        <v>65.3</v>
      </c>
      <c r="I240" s="40">
        <f t="shared" si="24"/>
        <v>68.2</v>
      </c>
      <c r="J240" s="75"/>
      <c r="K240" s="68"/>
      <c r="L240" s="68"/>
      <c r="M240" s="69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</row>
    <row r="241" spans="1:29" ht="18" customHeight="1">
      <c r="A241" s="50" t="s">
        <v>429</v>
      </c>
      <c r="B241" s="51">
        <v>803</v>
      </c>
      <c r="C241" s="52" t="s">
        <v>492</v>
      </c>
      <c r="D241" s="52" t="s">
        <v>809</v>
      </c>
      <c r="E241" s="52" t="s">
        <v>812</v>
      </c>
      <c r="F241" s="52" t="s">
        <v>55</v>
      </c>
      <c r="G241" s="40">
        <v>62.2</v>
      </c>
      <c r="H241" s="40">
        <v>65.3</v>
      </c>
      <c r="I241" s="40">
        <v>68.2</v>
      </c>
      <c r="J241" s="75"/>
      <c r="K241" s="68"/>
      <c r="L241" s="68"/>
      <c r="M241" s="69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</row>
    <row r="242" spans="1:29" ht="18" customHeight="1">
      <c r="A242" s="85" t="s">
        <v>493</v>
      </c>
      <c r="B242" s="51">
        <v>803</v>
      </c>
      <c r="C242" s="52" t="s">
        <v>492</v>
      </c>
      <c r="D242" s="52" t="s">
        <v>811</v>
      </c>
      <c r="E242" s="52"/>
      <c r="F242" s="52"/>
      <c r="G242" s="40">
        <f>G246+G243</f>
        <v>444.8</v>
      </c>
      <c r="H242" s="40">
        <f>H246+H243</f>
        <v>101.2</v>
      </c>
      <c r="I242" s="40">
        <f>I246+I243</f>
        <v>550</v>
      </c>
      <c r="J242" s="75"/>
      <c r="K242" s="68"/>
      <c r="L242" s="68"/>
      <c r="M242" s="69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</row>
    <row r="243" spans="1:29" ht="18" customHeight="1">
      <c r="A243" s="82" t="s">
        <v>297</v>
      </c>
      <c r="B243" s="51">
        <v>803</v>
      </c>
      <c r="C243" s="52" t="s">
        <v>492</v>
      </c>
      <c r="D243" s="52" t="s">
        <v>811</v>
      </c>
      <c r="E243" s="52" t="s">
        <v>395</v>
      </c>
      <c r="F243" s="52"/>
      <c r="G243" s="40">
        <f aca="true" t="shared" si="25" ref="G243:I244">G244</f>
        <v>200</v>
      </c>
      <c r="H243" s="40">
        <f t="shared" si="25"/>
        <v>0</v>
      </c>
      <c r="I243" s="40">
        <f t="shared" si="25"/>
        <v>550</v>
      </c>
      <c r="J243" s="75"/>
      <c r="K243" s="68"/>
      <c r="L243" s="68"/>
      <c r="M243" s="69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</row>
    <row r="244" spans="1:29" ht="18" customHeight="1">
      <c r="A244" s="82" t="s">
        <v>453</v>
      </c>
      <c r="B244" s="51">
        <v>803</v>
      </c>
      <c r="C244" s="52" t="s">
        <v>492</v>
      </c>
      <c r="D244" s="52" t="s">
        <v>811</v>
      </c>
      <c r="E244" s="52" t="s">
        <v>452</v>
      </c>
      <c r="F244" s="52"/>
      <c r="G244" s="40">
        <f t="shared" si="25"/>
        <v>200</v>
      </c>
      <c r="H244" s="40">
        <f t="shared" si="25"/>
        <v>0</v>
      </c>
      <c r="I244" s="40">
        <f t="shared" si="25"/>
        <v>550</v>
      </c>
      <c r="J244" s="75"/>
      <c r="K244" s="68"/>
      <c r="L244" s="68"/>
      <c r="M244" s="69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</row>
    <row r="245" spans="1:29" ht="18" customHeight="1">
      <c r="A245" s="82" t="s">
        <v>524</v>
      </c>
      <c r="B245" s="51">
        <v>803</v>
      </c>
      <c r="C245" s="52" t="s">
        <v>492</v>
      </c>
      <c r="D245" s="52" t="s">
        <v>811</v>
      </c>
      <c r="E245" s="52" t="s">
        <v>452</v>
      </c>
      <c r="F245" s="52" t="s">
        <v>55</v>
      </c>
      <c r="G245" s="40">
        <v>200</v>
      </c>
      <c r="H245" s="40"/>
      <c r="I245" s="40">
        <v>550</v>
      </c>
      <c r="J245" s="75"/>
      <c r="K245" s="68"/>
      <c r="L245" s="68"/>
      <c r="M245" s="69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</row>
    <row r="246" spans="1:29" ht="18" customHeight="1">
      <c r="A246" s="86" t="s">
        <v>366</v>
      </c>
      <c r="B246" s="51">
        <v>803</v>
      </c>
      <c r="C246" s="52" t="s">
        <v>492</v>
      </c>
      <c r="D246" s="52" t="s">
        <v>811</v>
      </c>
      <c r="E246" s="52" t="s">
        <v>358</v>
      </c>
      <c r="F246" s="52"/>
      <c r="G246" s="40">
        <f aca="true" t="shared" si="26" ref="G246:I248">G247</f>
        <v>244.8</v>
      </c>
      <c r="H246" s="40">
        <f t="shared" si="26"/>
        <v>101.2</v>
      </c>
      <c r="I246" s="40">
        <f t="shared" si="26"/>
        <v>0</v>
      </c>
      <c r="J246" s="75"/>
      <c r="K246" s="68"/>
      <c r="L246" s="68"/>
      <c r="M246" s="69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</row>
    <row r="247" spans="1:29" ht="18" customHeight="1">
      <c r="A247" s="86" t="s">
        <v>362</v>
      </c>
      <c r="B247" s="51">
        <v>803</v>
      </c>
      <c r="C247" s="52" t="s">
        <v>492</v>
      </c>
      <c r="D247" s="52" t="s">
        <v>811</v>
      </c>
      <c r="E247" s="52" t="s">
        <v>359</v>
      </c>
      <c r="F247" s="52"/>
      <c r="G247" s="40">
        <f t="shared" si="26"/>
        <v>244.8</v>
      </c>
      <c r="H247" s="40">
        <f t="shared" si="26"/>
        <v>101.2</v>
      </c>
      <c r="I247" s="40">
        <f t="shared" si="26"/>
        <v>0</v>
      </c>
      <c r="J247" s="75"/>
      <c r="K247" s="68"/>
      <c r="L247" s="68"/>
      <c r="M247" s="69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</row>
    <row r="248" spans="1:29" ht="18" customHeight="1">
      <c r="A248" s="82" t="s">
        <v>367</v>
      </c>
      <c r="B248" s="51">
        <v>803</v>
      </c>
      <c r="C248" s="52" t="s">
        <v>492</v>
      </c>
      <c r="D248" s="52" t="s">
        <v>811</v>
      </c>
      <c r="E248" s="52" t="s">
        <v>368</v>
      </c>
      <c r="F248" s="52"/>
      <c r="G248" s="40">
        <f t="shared" si="26"/>
        <v>244.8</v>
      </c>
      <c r="H248" s="40">
        <f t="shared" si="26"/>
        <v>101.2</v>
      </c>
      <c r="I248" s="40">
        <f t="shared" si="26"/>
        <v>0</v>
      </c>
      <c r="J248" s="75"/>
      <c r="K248" s="68"/>
      <c r="L248" s="68"/>
      <c r="M248" s="69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</row>
    <row r="249" spans="1:29" ht="18" customHeight="1">
      <c r="A249" s="82" t="s">
        <v>524</v>
      </c>
      <c r="B249" s="51">
        <v>803</v>
      </c>
      <c r="C249" s="52" t="s">
        <v>492</v>
      </c>
      <c r="D249" s="52" t="s">
        <v>811</v>
      </c>
      <c r="E249" s="52" t="s">
        <v>368</v>
      </c>
      <c r="F249" s="52" t="s">
        <v>55</v>
      </c>
      <c r="G249" s="40">
        <v>244.8</v>
      </c>
      <c r="H249" s="40">
        <v>101.2</v>
      </c>
      <c r="I249" s="40"/>
      <c r="J249" s="75"/>
      <c r="K249" s="68"/>
      <c r="L249" s="68"/>
      <c r="M249" s="69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</row>
    <row r="250" spans="1:29" ht="20.25" customHeight="1">
      <c r="A250" s="63" t="s">
        <v>103</v>
      </c>
      <c r="B250" s="51">
        <v>804</v>
      </c>
      <c r="C250" s="52"/>
      <c r="D250" s="52"/>
      <c r="E250" s="52"/>
      <c r="F250" s="52"/>
      <c r="G250" s="40">
        <f>G251+G263</f>
        <v>33447.8</v>
      </c>
      <c r="H250" s="40">
        <f>H251+H263</f>
        <v>33419.2</v>
      </c>
      <c r="I250" s="40">
        <f>I251+I263</f>
        <v>33423.3</v>
      </c>
      <c r="J250" s="75"/>
      <c r="K250" s="68"/>
      <c r="L250" s="68"/>
      <c r="M250" s="69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</row>
    <row r="251" spans="1:29" ht="20.25" customHeight="1">
      <c r="A251" s="63" t="s">
        <v>432</v>
      </c>
      <c r="B251" s="51">
        <v>804</v>
      </c>
      <c r="C251" s="52" t="s">
        <v>810</v>
      </c>
      <c r="D251" s="52"/>
      <c r="E251" s="52"/>
      <c r="F251" s="52"/>
      <c r="G251" s="40">
        <f>SUM(G256,G252)</f>
        <v>33447.8</v>
      </c>
      <c r="H251" s="40">
        <f>SUM(H256,H252)</f>
        <v>33419.2</v>
      </c>
      <c r="I251" s="40">
        <f>SUM(I256,I252)</f>
        <v>33423.3</v>
      </c>
      <c r="J251" s="75"/>
      <c r="K251" s="68"/>
      <c r="L251" s="68"/>
      <c r="M251" s="69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</row>
    <row r="252" spans="1:29" ht="20.25" customHeight="1" hidden="1">
      <c r="A252" s="82" t="s">
        <v>773</v>
      </c>
      <c r="B252" s="51">
        <v>804</v>
      </c>
      <c r="C252" s="52" t="s">
        <v>810</v>
      </c>
      <c r="D252" s="52" t="s">
        <v>807</v>
      </c>
      <c r="E252" s="52"/>
      <c r="F252" s="52"/>
      <c r="G252" s="40">
        <f>G253</f>
        <v>0</v>
      </c>
      <c r="H252" s="40">
        <f aca="true" t="shared" si="27" ref="H252:I254">H253</f>
        <v>0</v>
      </c>
      <c r="I252" s="40">
        <f t="shared" si="27"/>
        <v>0</v>
      </c>
      <c r="J252" s="75"/>
      <c r="K252" s="68"/>
      <c r="L252" s="68"/>
      <c r="M252" s="69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</row>
    <row r="253" spans="1:29" ht="20.25" customHeight="1" hidden="1">
      <c r="A253" s="82" t="s">
        <v>775</v>
      </c>
      <c r="B253" s="51">
        <v>804</v>
      </c>
      <c r="C253" s="52" t="s">
        <v>810</v>
      </c>
      <c r="D253" s="52" t="s">
        <v>807</v>
      </c>
      <c r="E253" s="52" t="s">
        <v>774</v>
      </c>
      <c r="F253" s="52"/>
      <c r="G253" s="40">
        <f>G254</f>
        <v>0</v>
      </c>
      <c r="H253" s="40">
        <f t="shared" si="27"/>
        <v>0</v>
      </c>
      <c r="I253" s="40">
        <f t="shared" si="27"/>
        <v>0</v>
      </c>
      <c r="J253" s="75"/>
      <c r="K253" s="68"/>
      <c r="L253" s="68"/>
      <c r="M253" s="69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</row>
    <row r="254" spans="1:29" ht="20.25" customHeight="1" hidden="1">
      <c r="A254" s="82" t="s">
        <v>777</v>
      </c>
      <c r="B254" s="51">
        <v>804</v>
      </c>
      <c r="C254" s="52" t="s">
        <v>810</v>
      </c>
      <c r="D254" s="52" t="s">
        <v>807</v>
      </c>
      <c r="E254" s="52" t="s">
        <v>776</v>
      </c>
      <c r="F254" s="52"/>
      <c r="G254" s="40">
        <f>G255</f>
        <v>0</v>
      </c>
      <c r="H254" s="40">
        <f t="shared" si="27"/>
        <v>0</v>
      </c>
      <c r="I254" s="40">
        <f t="shared" si="27"/>
        <v>0</v>
      </c>
      <c r="J254" s="75"/>
      <c r="K254" s="68"/>
      <c r="L254" s="68"/>
      <c r="M254" s="69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</row>
    <row r="255" spans="1:29" ht="20.25" customHeight="1" hidden="1">
      <c r="A255" s="81" t="s">
        <v>13</v>
      </c>
      <c r="B255" s="51">
        <v>804</v>
      </c>
      <c r="C255" s="52" t="s">
        <v>810</v>
      </c>
      <c r="D255" s="52" t="s">
        <v>807</v>
      </c>
      <c r="E255" s="52" t="s">
        <v>776</v>
      </c>
      <c r="F255" s="52" t="s">
        <v>572</v>
      </c>
      <c r="G255" s="40"/>
      <c r="H255" s="40"/>
      <c r="I255" s="40"/>
      <c r="J255" s="75"/>
      <c r="K255" s="68"/>
      <c r="L255" s="68"/>
      <c r="M255" s="69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</row>
    <row r="256" spans="1:29" ht="20.25" customHeight="1">
      <c r="A256" s="85" t="s">
        <v>433</v>
      </c>
      <c r="B256" s="51">
        <v>804</v>
      </c>
      <c r="C256" s="52" t="s">
        <v>810</v>
      </c>
      <c r="D256" s="52" t="s">
        <v>530</v>
      </c>
      <c r="E256" s="52"/>
      <c r="F256" s="52"/>
      <c r="G256" s="40">
        <f>SUM(G257,G260)</f>
        <v>33447.8</v>
      </c>
      <c r="H256" s="40">
        <f>SUM(H257,H260)</f>
        <v>33419.2</v>
      </c>
      <c r="I256" s="40">
        <f>SUM(I257,I260)</f>
        <v>33423.3</v>
      </c>
      <c r="J256" s="75"/>
      <c r="K256" s="68"/>
      <c r="L256" s="68"/>
      <c r="M256" s="69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</row>
    <row r="257" spans="1:29" ht="35.25" customHeight="1">
      <c r="A257" s="81" t="s">
        <v>42</v>
      </c>
      <c r="B257" s="51">
        <v>804</v>
      </c>
      <c r="C257" s="52" t="s">
        <v>810</v>
      </c>
      <c r="D257" s="52" t="s">
        <v>530</v>
      </c>
      <c r="E257" s="52" t="s">
        <v>43</v>
      </c>
      <c r="F257" s="52"/>
      <c r="G257" s="40">
        <f aca="true" t="shared" si="28" ref="G257:I258">SUM(G258)</f>
        <v>23447.800000000003</v>
      </c>
      <c r="H257" s="40">
        <f t="shared" si="28"/>
        <v>23419.2</v>
      </c>
      <c r="I257" s="40">
        <f t="shared" si="28"/>
        <v>23423.300000000003</v>
      </c>
      <c r="J257" s="75"/>
      <c r="K257" s="68"/>
      <c r="L257" s="68"/>
      <c r="M257" s="69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</row>
    <row r="258" spans="1:29" ht="20.25" customHeight="1">
      <c r="A258" s="81" t="s">
        <v>47</v>
      </c>
      <c r="B258" s="51">
        <v>804</v>
      </c>
      <c r="C258" s="52" t="s">
        <v>810</v>
      </c>
      <c r="D258" s="52" t="s">
        <v>530</v>
      </c>
      <c r="E258" s="52" t="s">
        <v>45</v>
      </c>
      <c r="F258" s="52"/>
      <c r="G258" s="40">
        <f t="shared" si="28"/>
        <v>23447.800000000003</v>
      </c>
      <c r="H258" s="40">
        <f t="shared" si="28"/>
        <v>23419.2</v>
      </c>
      <c r="I258" s="40">
        <f t="shared" si="28"/>
        <v>23423.300000000003</v>
      </c>
      <c r="J258" s="75"/>
      <c r="K258" s="68"/>
      <c r="L258" s="68"/>
      <c r="M258" s="69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</row>
    <row r="259" spans="1:29" ht="18" customHeight="1">
      <c r="A259" s="82" t="s">
        <v>361</v>
      </c>
      <c r="B259" s="51">
        <v>804</v>
      </c>
      <c r="C259" s="52" t="s">
        <v>810</v>
      </c>
      <c r="D259" s="52" t="s">
        <v>530</v>
      </c>
      <c r="E259" s="52" t="s">
        <v>45</v>
      </c>
      <c r="F259" s="52" t="s">
        <v>214</v>
      </c>
      <c r="G259" s="40">
        <f>21314.9+2132.9</f>
        <v>23447.800000000003</v>
      </c>
      <c r="H259" s="40">
        <f>21286.3+2132.9</f>
        <v>23419.2</v>
      </c>
      <c r="I259" s="40">
        <f>21290.4+2132.9</f>
        <v>23423.300000000003</v>
      </c>
      <c r="J259" s="75"/>
      <c r="K259" s="68"/>
      <c r="L259" s="68"/>
      <c r="M259" s="69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</row>
    <row r="260" spans="1:29" ht="18.75" customHeight="1">
      <c r="A260" s="81" t="s">
        <v>435</v>
      </c>
      <c r="B260" s="51">
        <v>804</v>
      </c>
      <c r="C260" s="52" t="s">
        <v>810</v>
      </c>
      <c r="D260" s="52" t="s">
        <v>530</v>
      </c>
      <c r="E260" s="52" t="s">
        <v>434</v>
      </c>
      <c r="F260" s="52"/>
      <c r="G260" s="40">
        <f aca="true" t="shared" si="29" ref="G260:I261">SUM(G261)</f>
        <v>10000</v>
      </c>
      <c r="H260" s="40">
        <f t="shared" si="29"/>
        <v>10000</v>
      </c>
      <c r="I260" s="40">
        <f t="shared" si="29"/>
        <v>10000</v>
      </c>
      <c r="J260" s="75"/>
      <c r="K260" s="68"/>
      <c r="L260" s="68"/>
      <c r="M260" s="69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</row>
    <row r="261" spans="1:29" ht="20.25" customHeight="1">
      <c r="A261" s="93" t="s">
        <v>454</v>
      </c>
      <c r="B261" s="51">
        <v>804</v>
      </c>
      <c r="C261" s="52" t="s">
        <v>810</v>
      </c>
      <c r="D261" s="52" t="s">
        <v>530</v>
      </c>
      <c r="E261" s="52" t="s">
        <v>455</v>
      </c>
      <c r="F261" s="52"/>
      <c r="G261" s="40">
        <f t="shared" si="29"/>
        <v>10000</v>
      </c>
      <c r="H261" s="40">
        <f t="shared" si="29"/>
        <v>10000</v>
      </c>
      <c r="I261" s="40">
        <f t="shared" si="29"/>
        <v>10000</v>
      </c>
      <c r="J261" s="75"/>
      <c r="K261" s="68"/>
      <c r="L261" s="68"/>
      <c r="M261" s="69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</row>
    <row r="262" spans="1:29" ht="18.75" customHeight="1">
      <c r="A262" s="82" t="s">
        <v>361</v>
      </c>
      <c r="B262" s="51">
        <v>804</v>
      </c>
      <c r="C262" s="52" t="s">
        <v>810</v>
      </c>
      <c r="D262" s="52" t="s">
        <v>530</v>
      </c>
      <c r="E262" s="52" t="s">
        <v>455</v>
      </c>
      <c r="F262" s="52" t="s">
        <v>214</v>
      </c>
      <c r="G262" s="40">
        <v>10000</v>
      </c>
      <c r="H262" s="40">
        <v>10000</v>
      </c>
      <c r="I262" s="40">
        <v>10000</v>
      </c>
      <c r="J262" s="75"/>
      <c r="K262" s="68"/>
      <c r="L262" s="68"/>
      <c r="M262" s="69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</row>
    <row r="263" spans="1:29" ht="18.75" customHeight="1" hidden="1">
      <c r="A263" s="85" t="s">
        <v>378</v>
      </c>
      <c r="B263" s="51">
        <v>804</v>
      </c>
      <c r="C263" s="52" t="s">
        <v>529</v>
      </c>
      <c r="D263" s="52"/>
      <c r="E263" s="52"/>
      <c r="F263" s="52"/>
      <c r="G263" s="40">
        <f>G264</f>
        <v>0</v>
      </c>
      <c r="H263" s="40">
        <f aca="true" t="shared" si="30" ref="H263:I266">H264</f>
        <v>0</v>
      </c>
      <c r="I263" s="40">
        <f t="shared" si="30"/>
        <v>0</v>
      </c>
      <c r="J263" s="75"/>
      <c r="K263" s="68"/>
      <c r="L263" s="68"/>
      <c r="M263" s="69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</row>
    <row r="264" spans="1:29" ht="18.75" customHeight="1" hidden="1">
      <c r="A264" s="85" t="s">
        <v>250</v>
      </c>
      <c r="B264" s="51">
        <v>804</v>
      </c>
      <c r="C264" s="52" t="s">
        <v>529</v>
      </c>
      <c r="D264" s="52" t="s">
        <v>529</v>
      </c>
      <c r="E264" s="52"/>
      <c r="F264" s="52"/>
      <c r="G264" s="40">
        <f>G265</f>
        <v>0</v>
      </c>
      <c r="H264" s="40">
        <f t="shared" si="30"/>
        <v>0</v>
      </c>
      <c r="I264" s="40">
        <f t="shared" si="30"/>
        <v>0</v>
      </c>
      <c r="J264" s="75"/>
      <c r="K264" s="68"/>
      <c r="L264" s="68"/>
      <c r="M264" s="69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</row>
    <row r="265" spans="1:29" ht="18.75" customHeight="1" hidden="1">
      <c r="A265" s="81" t="s">
        <v>226</v>
      </c>
      <c r="B265" s="51">
        <v>804</v>
      </c>
      <c r="C265" s="52" t="s">
        <v>529</v>
      </c>
      <c r="D265" s="52" t="s">
        <v>529</v>
      </c>
      <c r="E265" s="52" t="s">
        <v>494</v>
      </c>
      <c r="F265" s="52"/>
      <c r="G265" s="40">
        <f>G266</f>
        <v>0</v>
      </c>
      <c r="H265" s="40">
        <f t="shared" si="30"/>
        <v>0</v>
      </c>
      <c r="I265" s="40">
        <f t="shared" si="30"/>
        <v>0</v>
      </c>
      <c r="J265" s="75"/>
      <c r="K265" s="68"/>
      <c r="L265" s="68"/>
      <c r="M265" s="69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</row>
    <row r="266" spans="1:29" ht="18.75" customHeight="1" hidden="1">
      <c r="A266" s="86" t="s">
        <v>323</v>
      </c>
      <c r="B266" s="51">
        <v>804</v>
      </c>
      <c r="C266" s="52" t="s">
        <v>529</v>
      </c>
      <c r="D266" s="52" t="s">
        <v>529</v>
      </c>
      <c r="E266" s="52" t="s">
        <v>537</v>
      </c>
      <c r="F266" s="52"/>
      <c r="G266" s="40">
        <f>G267</f>
        <v>0</v>
      </c>
      <c r="H266" s="40">
        <f t="shared" si="30"/>
        <v>0</v>
      </c>
      <c r="I266" s="40">
        <f t="shared" si="30"/>
        <v>0</v>
      </c>
      <c r="J266" s="75"/>
      <c r="K266" s="68"/>
      <c r="L266" s="68"/>
      <c r="M266" s="69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</row>
    <row r="267" spans="1:29" ht="18.75" customHeight="1" hidden="1">
      <c r="A267" s="85" t="s">
        <v>560</v>
      </c>
      <c r="B267" s="51">
        <v>804</v>
      </c>
      <c r="C267" s="52" t="s">
        <v>529</v>
      </c>
      <c r="D267" s="52" t="s">
        <v>529</v>
      </c>
      <c r="E267" s="52" t="s">
        <v>537</v>
      </c>
      <c r="F267" s="52" t="s">
        <v>559</v>
      </c>
      <c r="G267" s="40"/>
      <c r="H267" s="40"/>
      <c r="I267" s="40"/>
      <c r="J267" s="75"/>
      <c r="K267" s="68"/>
      <c r="L267" s="68"/>
      <c r="M267" s="69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</row>
    <row r="268" spans="1:29" ht="19.5" customHeight="1">
      <c r="A268" s="63" t="s">
        <v>104</v>
      </c>
      <c r="B268" s="51">
        <v>805</v>
      </c>
      <c r="C268" s="52"/>
      <c r="D268" s="52"/>
      <c r="E268" s="52"/>
      <c r="F268" s="52"/>
      <c r="G268" s="40">
        <f>SUM(G279,G383,G378,G269,)</f>
        <v>2023508.3000000003</v>
      </c>
      <c r="H268" s="40">
        <f>SUM(H279,H383,H378,H269,)</f>
        <v>1981621.6</v>
      </c>
      <c r="I268" s="40">
        <f>SUM(I279,I383,I378,I269,)</f>
        <v>2016082.1</v>
      </c>
      <c r="J268" s="96"/>
      <c r="K268" s="97"/>
      <c r="L268" s="69"/>
      <c r="M268" s="69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</row>
    <row r="269" spans="1:29" ht="19.5" customHeight="1" hidden="1">
      <c r="A269" s="63" t="s">
        <v>432</v>
      </c>
      <c r="B269" s="51">
        <v>805</v>
      </c>
      <c r="C269" s="52" t="s">
        <v>810</v>
      </c>
      <c r="D269" s="52"/>
      <c r="E269" s="52"/>
      <c r="F269" s="52"/>
      <c r="G269" s="40">
        <f>G270</f>
        <v>0</v>
      </c>
      <c r="H269" s="40">
        <f>H270</f>
        <v>0</v>
      </c>
      <c r="I269" s="40">
        <f>I270</f>
        <v>0</v>
      </c>
      <c r="J269" s="96"/>
      <c r="K269" s="97"/>
      <c r="L269" s="69"/>
      <c r="M269" s="69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</row>
    <row r="270" spans="1:29" ht="19.5" customHeight="1" hidden="1">
      <c r="A270" s="82" t="s">
        <v>773</v>
      </c>
      <c r="B270" s="51">
        <v>805</v>
      </c>
      <c r="C270" s="52" t="s">
        <v>810</v>
      </c>
      <c r="D270" s="52" t="s">
        <v>807</v>
      </c>
      <c r="E270" s="52"/>
      <c r="F270" s="52"/>
      <c r="G270" s="40">
        <f>G271+G276</f>
        <v>0</v>
      </c>
      <c r="H270" s="40">
        <f>H271+H276</f>
        <v>0</v>
      </c>
      <c r="I270" s="40">
        <f>I271+I276</f>
        <v>0</v>
      </c>
      <c r="J270" s="96"/>
      <c r="K270" s="97"/>
      <c r="L270" s="69"/>
      <c r="M270" s="69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</row>
    <row r="271" spans="1:29" ht="19.5" customHeight="1" hidden="1">
      <c r="A271" s="82" t="s">
        <v>775</v>
      </c>
      <c r="B271" s="51">
        <v>805</v>
      </c>
      <c r="C271" s="52" t="s">
        <v>810</v>
      </c>
      <c r="D271" s="52" t="s">
        <v>807</v>
      </c>
      <c r="E271" s="52" t="s">
        <v>774</v>
      </c>
      <c r="F271" s="52"/>
      <c r="G271" s="40">
        <f>G272+G274</f>
        <v>0</v>
      </c>
      <c r="H271" s="40">
        <f>H272+H274</f>
        <v>0</v>
      </c>
      <c r="I271" s="40">
        <f>I272+I274</f>
        <v>0</v>
      </c>
      <c r="J271" s="96"/>
      <c r="K271" s="97"/>
      <c r="L271" s="69"/>
      <c r="M271" s="69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</row>
    <row r="272" spans="1:29" ht="19.5" customHeight="1" hidden="1">
      <c r="A272" s="82" t="s">
        <v>777</v>
      </c>
      <c r="B272" s="51">
        <v>805</v>
      </c>
      <c r="C272" s="52" t="s">
        <v>810</v>
      </c>
      <c r="D272" s="52" t="s">
        <v>807</v>
      </c>
      <c r="E272" s="52" t="s">
        <v>776</v>
      </c>
      <c r="F272" s="52"/>
      <c r="G272" s="40">
        <f>G273</f>
        <v>0</v>
      </c>
      <c r="H272" s="40">
        <f>H273</f>
        <v>0</v>
      </c>
      <c r="I272" s="40">
        <f>I273</f>
        <v>0</v>
      </c>
      <c r="J272" s="96"/>
      <c r="K272" s="97"/>
      <c r="L272" s="69"/>
      <c r="M272" s="69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</row>
    <row r="273" spans="1:29" ht="19.5" customHeight="1" hidden="1">
      <c r="A273" s="81" t="s">
        <v>13</v>
      </c>
      <c r="B273" s="51">
        <v>805</v>
      </c>
      <c r="C273" s="52" t="s">
        <v>810</v>
      </c>
      <c r="D273" s="52" t="s">
        <v>807</v>
      </c>
      <c r="E273" s="52" t="s">
        <v>776</v>
      </c>
      <c r="F273" s="52" t="s">
        <v>572</v>
      </c>
      <c r="G273" s="40"/>
      <c r="H273" s="40"/>
      <c r="I273" s="40"/>
      <c r="J273" s="96"/>
      <c r="K273" s="97"/>
      <c r="L273" s="69"/>
      <c r="M273" s="69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</row>
    <row r="274" spans="1:29" ht="40.5" customHeight="1" hidden="1">
      <c r="A274" s="81" t="s">
        <v>600</v>
      </c>
      <c r="B274" s="51">
        <v>805</v>
      </c>
      <c r="C274" s="52" t="s">
        <v>810</v>
      </c>
      <c r="D274" s="52" t="s">
        <v>807</v>
      </c>
      <c r="E274" s="52" t="s">
        <v>596</v>
      </c>
      <c r="F274" s="52"/>
      <c r="G274" s="40">
        <f>G275</f>
        <v>0</v>
      </c>
      <c r="H274" s="40">
        <f>H275</f>
        <v>0</v>
      </c>
      <c r="I274" s="40">
        <f>I275</f>
        <v>0</v>
      </c>
      <c r="J274" s="96"/>
      <c r="K274" s="97"/>
      <c r="L274" s="69"/>
      <c r="M274" s="69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</row>
    <row r="275" spans="1:29" ht="19.5" customHeight="1" hidden="1">
      <c r="A275" s="81" t="s">
        <v>13</v>
      </c>
      <c r="B275" s="51">
        <v>805</v>
      </c>
      <c r="C275" s="52" t="s">
        <v>810</v>
      </c>
      <c r="D275" s="52" t="s">
        <v>807</v>
      </c>
      <c r="E275" s="52" t="s">
        <v>596</v>
      </c>
      <c r="F275" s="52" t="s">
        <v>572</v>
      </c>
      <c r="G275" s="40"/>
      <c r="H275" s="40"/>
      <c r="I275" s="40"/>
      <c r="J275" s="96"/>
      <c r="K275" s="97"/>
      <c r="L275" s="69"/>
      <c r="M275" s="69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</row>
    <row r="276" spans="1:29" ht="19.5" customHeight="1" hidden="1">
      <c r="A276" s="81" t="s">
        <v>297</v>
      </c>
      <c r="B276" s="51">
        <v>805</v>
      </c>
      <c r="C276" s="52" t="s">
        <v>810</v>
      </c>
      <c r="D276" s="52" t="s">
        <v>807</v>
      </c>
      <c r="E276" s="52" t="s">
        <v>395</v>
      </c>
      <c r="F276" s="52"/>
      <c r="G276" s="40">
        <f aca="true" t="shared" si="31" ref="G276:I277">G277</f>
        <v>0</v>
      </c>
      <c r="H276" s="40">
        <f t="shared" si="31"/>
        <v>0</v>
      </c>
      <c r="I276" s="40">
        <f t="shared" si="31"/>
        <v>0</v>
      </c>
      <c r="J276" s="96"/>
      <c r="K276" s="97"/>
      <c r="L276" s="69"/>
      <c r="M276" s="69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</row>
    <row r="277" spans="1:29" ht="33" customHeight="1" hidden="1">
      <c r="A277" s="81" t="s">
        <v>598</v>
      </c>
      <c r="B277" s="51">
        <v>805</v>
      </c>
      <c r="C277" s="52" t="s">
        <v>810</v>
      </c>
      <c r="D277" s="52" t="s">
        <v>807</v>
      </c>
      <c r="E277" s="52" t="s">
        <v>601</v>
      </c>
      <c r="F277" s="52"/>
      <c r="G277" s="40">
        <f t="shared" si="31"/>
        <v>0</v>
      </c>
      <c r="H277" s="40">
        <f t="shared" si="31"/>
        <v>0</v>
      </c>
      <c r="I277" s="40">
        <f t="shared" si="31"/>
        <v>0</v>
      </c>
      <c r="J277" s="96"/>
      <c r="K277" s="97"/>
      <c r="L277" s="69"/>
      <c r="M277" s="69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</row>
    <row r="278" spans="1:29" ht="19.5" customHeight="1" hidden="1">
      <c r="A278" s="81" t="s">
        <v>13</v>
      </c>
      <c r="B278" s="51">
        <v>805</v>
      </c>
      <c r="C278" s="52" t="s">
        <v>810</v>
      </c>
      <c r="D278" s="52" t="s">
        <v>807</v>
      </c>
      <c r="E278" s="52" t="s">
        <v>601</v>
      </c>
      <c r="F278" s="52" t="s">
        <v>572</v>
      </c>
      <c r="G278" s="40"/>
      <c r="H278" s="40"/>
      <c r="I278" s="40"/>
      <c r="J278" s="96"/>
      <c r="K278" s="97"/>
      <c r="L278" s="69"/>
      <c r="M278" s="69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</row>
    <row r="279" spans="1:29" ht="19.5" customHeight="1">
      <c r="A279" s="85" t="s">
        <v>426</v>
      </c>
      <c r="B279" s="51">
        <v>805</v>
      </c>
      <c r="C279" s="52" t="s">
        <v>529</v>
      </c>
      <c r="D279" s="52"/>
      <c r="E279" s="52"/>
      <c r="F279" s="52"/>
      <c r="G279" s="40">
        <f>SUM(G280,G290,G328,G341,G324,G334)</f>
        <v>1938389.5000000002</v>
      </c>
      <c r="H279" s="40">
        <f>SUM(H280,H290,H328,H341,H324,H334)</f>
        <v>1900929.8</v>
      </c>
      <c r="I279" s="40">
        <f>SUM(I280,I290,I328,I341,I324,I334)</f>
        <v>1935390.3</v>
      </c>
      <c r="J279" s="96"/>
      <c r="K279" s="97"/>
      <c r="L279" s="69"/>
      <c r="M279" s="69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</row>
    <row r="280" spans="1:29" ht="16.5">
      <c r="A280" s="85" t="s">
        <v>456</v>
      </c>
      <c r="B280" s="51">
        <v>805</v>
      </c>
      <c r="C280" s="52" t="s">
        <v>529</v>
      </c>
      <c r="D280" s="52" t="s">
        <v>807</v>
      </c>
      <c r="E280" s="52"/>
      <c r="F280" s="52"/>
      <c r="G280" s="40">
        <f>SUM(G281,G286)</f>
        <v>859248.9</v>
      </c>
      <c r="H280" s="40">
        <f>SUM(H281,H286)</f>
        <v>866592.7000000001</v>
      </c>
      <c r="I280" s="40">
        <f>SUM(I281,I286)</f>
        <v>883803.5</v>
      </c>
      <c r="J280" s="96"/>
      <c r="K280" s="97"/>
      <c r="L280" s="69"/>
      <c r="M280" s="69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</row>
    <row r="281" spans="1:29" ht="17.25" customHeight="1">
      <c r="A281" s="85" t="s">
        <v>70</v>
      </c>
      <c r="B281" s="51">
        <v>805</v>
      </c>
      <c r="C281" s="52" t="s">
        <v>529</v>
      </c>
      <c r="D281" s="52" t="s">
        <v>807</v>
      </c>
      <c r="E281" s="52" t="s">
        <v>457</v>
      </c>
      <c r="F281" s="52"/>
      <c r="G281" s="40">
        <f>SUM(G282,G284)</f>
        <v>856504.3</v>
      </c>
      <c r="H281" s="40">
        <f>SUM(H282,H284)</f>
        <v>863985.3</v>
      </c>
      <c r="I281" s="40">
        <f>SUM(I282,I284)</f>
        <v>881196.1</v>
      </c>
      <c r="J281" s="96"/>
      <c r="K281" s="97"/>
      <c r="L281" s="69"/>
      <c r="M281" s="69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</row>
    <row r="282" spans="1:29" ht="18" customHeight="1">
      <c r="A282" s="85" t="s">
        <v>496</v>
      </c>
      <c r="B282" s="51">
        <v>805</v>
      </c>
      <c r="C282" s="52" t="s">
        <v>529</v>
      </c>
      <c r="D282" s="52" t="s">
        <v>807</v>
      </c>
      <c r="E282" s="52" t="s">
        <v>497</v>
      </c>
      <c r="F282" s="52"/>
      <c r="G282" s="40">
        <f>SUM(G283)</f>
        <v>28132</v>
      </c>
      <c r="H282" s="40">
        <f>SUM(H283)</f>
        <v>28394.5</v>
      </c>
      <c r="I282" s="40">
        <f>SUM(I283)</f>
        <v>28394.5</v>
      </c>
      <c r="J282" s="96"/>
      <c r="K282" s="97"/>
      <c r="L282" s="69"/>
      <c r="M282" s="69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</row>
    <row r="283" spans="1:29" ht="16.5">
      <c r="A283" s="81" t="s">
        <v>13</v>
      </c>
      <c r="B283" s="51">
        <v>805</v>
      </c>
      <c r="C283" s="52" t="s">
        <v>529</v>
      </c>
      <c r="D283" s="52" t="s">
        <v>807</v>
      </c>
      <c r="E283" s="52" t="s">
        <v>497</v>
      </c>
      <c r="F283" s="52" t="s">
        <v>572</v>
      </c>
      <c r="G283" s="40">
        <v>28132</v>
      </c>
      <c r="H283" s="40">
        <v>28394.5</v>
      </c>
      <c r="I283" s="40">
        <v>28394.5</v>
      </c>
      <c r="J283" s="96"/>
      <c r="K283" s="97"/>
      <c r="L283" s="69"/>
      <c r="M283" s="69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</row>
    <row r="284" spans="1:29" ht="18" customHeight="1">
      <c r="A284" s="85" t="s">
        <v>403</v>
      </c>
      <c r="B284" s="51">
        <v>805</v>
      </c>
      <c r="C284" s="52" t="s">
        <v>529</v>
      </c>
      <c r="D284" s="52" t="s">
        <v>807</v>
      </c>
      <c r="E284" s="52" t="s">
        <v>458</v>
      </c>
      <c r="F284" s="52"/>
      <c r="G284" s="40">
        <f>SUM(G285)</f>
        <v>828372.3</v>
      </c>
      <c r="H284" s="40">
        <f>SUM(H285)</f>
        <v>835590.8</v>
      </c>
      <c r="I284" s="40">
        <f>SUM(I285)</f>
        <v>852801.6</v>
      </c>
      <c r="J284" s="96"/>
      <c r="K284" s="97"/>
      <c r="L284" s="69"/>
      <c r="M284" s="69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</row>
    <row r="285" spans="1:29" ht="19.5" customHeight="1">
      <c r="A285" s="81" t="s">
        <v>13</v>
      </c>
      <c r="B285" s="51">
        <v>805</v>
      </c>
      <c r="C285" s="52" t="s">
        <v>529</v>
      </c>
      <c r="D285" s="52" t="s">
        <v>807</v>
      </c>
      <c r="E285" s="52" t="s">
        <v>458</v>
      </c>
      <c r="F285" s="52" t="s">
        <v>572</v>
      </c>
      <c r="G285" s="40">
        <v>828372.3</v>
      </c>
      <c r="H285" s="40">
        <v>835590.8</v>
      </c>
      <c r="I285" s="40">
        <v>852801.6</v>
      </c>
      <c r="J285" s="75"/>
      <c r="K285" s="68"/>
      <c r="L285" s="68"/>
      <c r="M285" s="69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</row>
    <row r="286" spans="1:13" s="68" customFormat="1" ht="18" customHeight="1">
      <c r="A286" s="92" t="s">
        <v>29</v>
      </c>
      <c r="B286" s="51">
        <v>805</v>
      </c>
      <c r="C286" s="52" t="s">
        <v>529</v>
      </c>
      <c r="D286" s="52" t="s">
        <v>807</v>
      </c>
      <c r="E286" s="52" t="s">
        <v>30</v>
      </c>
      <c r="F286" s="52"/>
      <c r="G286" s="40">
        <f>G288</f>
        <v>2744.6</v>
      </c>
      <c r="H286" s="40">
        <f>H288</f>
        <v>2607.4</v>
      </c>
      <c r="I286" s="40">
        <f>I288</f>
        <v>2607.4</v>
      </c>
      <c r="J286" s="75"/>
      <c r="M286" s="69"/>
    </row>
    <row r="287" spans="1:13" s="68" customFormat="1" ht="18" customHeight="1">
      <c r="A287" s="81" t="s">
        <v>34</v>
      </c>
      <c r="B287" s="51">
        <v>805</v>
      </c>
      <c r="C287" s="52" t="s">
        <v>529</v>
      </c>
      <c r="D287" s="52" t="s">
        <v>807</v>
      </c>
      <c r="E287" s="52" t="s">
        <v>33</v>
      </c>
      <c r="F287" s="52"/>
      <c r="G287" s="40">
        <f aca="true" t="shared" si="32" ref="G287:I288">G288</f>
        <v>2744.6</v>
      </c>
      <c r="H287" s="40">
        <f t="shared" si="32"/>
        <v>2607.4</v>
      </c>
      <c r="I287" s="40">
        <f t="shared" si="32"/>
        <v>2607.4</v>
      </c>
      <c r="J287" s="75"/>
      <c r="M287" s="69"/>
    </row>
    <row r="288" spans="1:13" s="68" customFormat="1" ht="51" customHeight="1">
      <c r="A288" s="81" t="s">
        <v>605</v>
      </c>
      <c r="B288" s="51">
        <v>805</v>
      </c>
      <c r="C288" s="52" t="s">
        <v>529</v>
      </c>
      <c r="D288" s="52" t="s">
        <v>807</v>
      </c>
      <c r="E288" s="52" t="s">
        <v>480</v>
      </c>
      <c r="F288" s="52"/>
      <c r="G288" s="40">
        <f t="shared" si="32"/>
        <v>2744.6</v>
      </c>
      <c r="H288" s="40">
        <f t="shared" si="32"/>
        <v>2607.4</v>
      </c>
      <c r="I288" s="40">
        <f t="shared" si="32"/>
        <v>2607.4</v>
      </c>
      <c r="J288" s="75"/>
      <c r="M288" s="69"/>
    </row>
    <row r="289" spans="1:13" s="68" customFormat="1" ht="18" customHeight="1">
      <c r="A289" s="81" t="s">
        <v>13</v>
      </c>
      <c r="B289" s="51">
        <v>805</v>
      </c>
      <c r="C289" s="52" t="s">
        <v>529</v>
      </c>
      <c r="D289" s="52" t="s">
        <v>807</v>
      </c>
      <c r="E289" s="52" t="s">
        <v>480</v>
      </c>
      <c r="F289" s="52" t="s">
        <v>572</v>
      </c>
      <c r="G289" s="40">
        <v>2744.6</v>
      </c>
      <c r="H289" s="40">
        <v>2607.4</v>
      </c>
      <c r="I289" s="40">
        <v>2607.4</v>
      </c>
      <c r="J289" s="75"/>
      <c r="M289" s="69"/>
    </row>
    <row r="290" spans="1:29" ht="19.5" customHeight="1">
      <c r="A290" s="85" t="s">
        <v>121</v>
      </c>
      <c r="B290" s="51">
        <v>805</v>
      </c>
      <c r="C290" s="52" t="s">
        <v>529</v>
      </c>
      <c r="D290" s="52" t="s">
        <v>808</v>
      </c>
      <c r="E290" s="52"/>
      <c r="F290" s="52"/>
      <c r="G290" s="40">
        <f>SUM(G291,G299,G304,G307,G316,G310,)</f>
        <v>997074.2</v>
      </c>
      <c r="H290" s="40">
        <f>SUM(H291,H299,H304,H307,H316,H310,)</f>
        <v>955455.3</v>
      </c>
      <c r="I290" s="40">
        <f>SUM(I291,I299,I304,I307,I316,I310,)</f>
        <v>966938.8</v>
      </c>
      <c r="J290" s="75"/>
      <c r="K290" s="68"/>
      <c r="L290" s="68"/>
      <c r="M290" s="69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</row>
    <row r="291" spans="1:29" ht="18" customHeight="1">
      <c r="A291" s="85" t="s">
        <v>304</v>
      </c>
      <c r="B291" s="51">
        <v>805</v>
      </c>
      <c r="C291" s="52" t="s">
        <v>529</v>
      </c>
      <c r="D291" s="52" t="s">
        <v>808</v>
      </c>
      <c r="E291" s="52" t="s">
        <v>459</v>
      </c>
      <c r="F291" s="52"/>
      <c r="G291" s="40">
        <f>SUM(G292,G294)</f>
        <v>674483.8</v>
      </c>
      <c r="H291" s="40">
        <f>SUM(H292,H294)</f>
        <v>647008.3</v>
      </c>
      <c r="I291" s="40">
        <f>SUM(I292,I294)</f>
        <v>658032.6000000001</v>
      </c>
      <c r="J291" s="75"/>
      <c r="K291" s="68"/>
      <c r="L291" s="68"/>
      <c r="M291" s="69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</row>
    <row r="292" spans="1:29" ht="18.75" customHeight="1">
      <c r="A292" s="85" t="s">
        <v>496</v>
      </c>
      <c r="B292" s="51">
        <v>805</v>
      </c>
      <c r="C292" s="52" t="s">
        <v>529</v>
      </c>
      <c r="D292" s="52" t="s">
        <v>808</v>
      </c>
      <c r="E292" s="52" t="s">
        <v>498</v>
      </c>
      <c r="F292" s="52"/>
      <c r="G292" s="40">
        <f>SUM(G293)</f>
        <v>26728.8</v>
      </c>
      <c r="H292" s="40">
        <f>SUM(H293)</f>
        <v>26728.8</v>
      </c>
      <c r="I292" s="40">
        <f>SUM(I293)</f>
        <v>26728.8</v>
      </c>
      <c r="J292" s="75"/>
      <c r="K292" s="68"/>
      <c r="L292" s="68"/>
      <c r="M292" s="69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</row>
    <row r="293" spans="1:29" ht="16.5">
      <c r="A293" s="81" t="s">
        <v>13</v>
      </c>
      <c r="B293" s="51">
        <v>805</v>
      </c>
      <c r="C293" s="52" t="s">
        <v>529</v>
      </c>
      <c r="D293" s="52" t="s">
        <v>808</v>
      </c>
      <c r="E293" s="52" t="s">
        <v>498</v>
      </c>
      <c r="F293" s="52" t="s">
        <v>572</v>
      </c>
      <c r="G293" s="40">
        <v>26728.8</v>
      </c>
      <c r="H293" s="40">
        <v>26728.8</v>
      </c>
      <c r="I293" s="40">
        <v>26728.8</v>
      </c>
      <c r="J293" s="75"/>
      <c r="K293" s="68"/>
      <c r="L293" s="68"/>
      <c r="M293" s="69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</row>
    <row r="294" spans="1:29" ht="18.75" customHeight="1">
      <c r="A294" s="85" t="s">
        <v>403</v>
      </c>
      <c r="B294" s="51">
        <v>805</v>
      </c>
      <c r="C294" s="52" t="s">
        <v>529</v>
      </c>
      <c r="D294" s="52" t="s">
        <v>808</v>
      </c>
      <c r="E294" s="52" t="s">
        <v>460</v>
      </c>
      <c r="F294" s="52"/>
      <c r="G294" s="40">
        <f>SUM(G295:G298)</f>
        <v>647755</v>
      </c>
      <c r="H294" s="40">
        <f>SUM(H295:H298)</f>
        <v>620279.5</v>
      </c>
      <c r="I294" s="40">
        <f>SUM(I295:I298)</f>
        <v>631303.8</v>
      </c>
      <c r="J294" s="75"/>
      <c r="K294" s="68"/>
      <c r="L294" s="68"/>
      <c r="M294" s="69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</row>
    <row r="295" spans="1:29" ht="16.5">
      <c r="A295" s="81" t="s">
        <v>13</v>
      </c>
      <c r="B295" s="51">
        <v>805</v>
      </c>
      <c r="C295" s="52" t="s">
        <v>529</v>
      </c>
      <c r="D295" s="52" t="s">
        <v>808</v>
      </c>
      <c r="E295" s="52" t="s">
        <v>460</v>
      </c>
      <c r="F295" s="52" t="s">
        <v>572</v>
      </c>
      <c r="G295" s="40">
        <v>117977.4</v>
      </c>
      <c r="H295" s="40">
        <f>116957.2+33.6</f>
        <v>116990.8</v>
      </c>
      <c r="I295" s="40">
        <v>128015.1</v>
      </c>
      <c r="J295" s="75"/>
      <c r="K295" s="68"/>
      <c r="L295" s="68"/>
      <c r="M295" s="69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</row>
    <row r="296" spans="1:29" ht="16.5">
      <c r="A296" s="98" t="s">
        <v>545</v>
      </c>
      <c r="B296" s="51">
        <v>805</v>
      </c>
      <c r="C296" s="52" t="s">
        <v>529</v>
      </c>
      <c r="D296" s="52" t="s">
        <v>808</v>
      </c>
      <c r="E296" s="52" t="s">
        <v>460</v>
      </c>
      <c r="F296" s="52" t="s">
        <v>470</v>
      </c>
      <c r="G296" s="40">
        <v>529777.6</v>
      </c>
      <c r="H296" s="40">
        <v>503288.7</v>
      </c>
      <c r="I296" s="40">
        <v>503288.7</v>
      </c>
      <c r="J296" s="75"/>
      <c r="K296" s="68"/>
      <c r="L296" s="68"/>
      <c r="M296" s="69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</row>
    <row r="297" spans="1:29" ht="35.25" customHeight="1" hidden="1">
      <c r="A297" s="99" t="s">
        <v>581</v>
      </c>
      <c r="B297" s="51">
        <v>805</v>
      </c>
      <c r="C297" s="52" t="s">
        <v>529</v>
      </c>
      <c r="D297" s="52" t="s">
        <v>808</v>
      </c>
      <c r="E297" s="52" t="s">
        <v>460</v>
      </c>
      <c r="F297" s="52" t="s">
        <v>580</v>
      </c>
      <c r="G297" s="40"/>
      <c r="H297" s="40"/>
      <c r="I297" s="40"/>
      <c r="J297" s="100" t="s">
        <v>584</v>
      </c>
      <c r="K297" s="101" t="s">
        <v>585</v>
      </c>
      <c r="L297" s="68"/>
      <c r="M297" s="69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</row>
    <row r="298" spans="1:29" ht="18.75" hidden="1">
      <c r="A298" s="102" t="s">
        <v>587</v>
      </c>
      <c r="B298" s="51">
        <v>805</v>
      </c>
      <c r="C298" s="52" t="s">
        <v>529</v>
      </c>
      <c r="D298" s="52" t="s">
        <v>808</v>
      </c>
      <c r="E298" s="52" t="s">
        <v>460</v>
      </c>
      <c r="F298" s="52" t="s">
        <v>588</v>
      </c>
      <c r="G298" s="40"/>
      <c r="H298" s="40"/>
      <c r="I298" s="40"/>
      <c r="J298" s="75"/>
      <c r="K298" s="68"/>
      <c r="L298" s="68"/>
      <c r="M298" s="69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</row>
    <row r="299" spans="1:29" ht="18" customHeight="1">
      <c r="A299" s="85" t="s">
        <v>484</v>
      </c>
      <c r="B299" s="51">
        <v>805</v>
      </c>
      <c r="C299" s="52" t="s">
        <v>529</v>
      </c>
      <c r="D299" s="52" t="s">
        <v>808</v>
      </c>
      <c r="E299" s="52" t="s">
        <v>462</v>
      </c>
      <c r="F299" s="52"/>
      <c r="G299" s="40">
        <f>SUM(G300,G302)</f>
        <v>60833.5</v>
      </c>
      <c r="H299" s="40">
        <f>SUM(H300,H302)</f>
        <v>61067.5</v>
      </c>
      <c r="I299" s="40">
        <f>SUM(I300,I302)</f>
        <v>61526.7</v>
      </c>
      <c r="J299" s="75"/>
      <c r="K299" s="68"/>
      <c r="L299" s="68"/>
      <c r="M299" s="69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</row>
    <row r="300" spans="1:29" ht="18" customHeight="1">
      <c r="A300" s="85" t="s">
        <v>496</v>
      </c>
      <c r="B300" s="51">
        <v>805</v>
      </c>
      <c r="C300" s="52" t="s">
        <v>529</v>
      </c>
      <c r="D300" s="52" t="s">
        <v>808</v>
      </c>
      <c r="E300" s="52" t="s">
        <v>499</v>
      </c>
      <c r="F300" s="52"/>
      <c r="G300" s="40">
        <f>SUM(G301)</f>
        <v>1055.2</v>
      </c>
      <c r="H300" s="40">
        <f>SUM(H301)</f>
        <v>1055.2</v>
      </c>
      <c r="I300" s="40">
        <f>SUM(I301)</f>
        <v>1055.2</v>
      </c>
      <c r="J300" s="75"/>
      <c r="K300" s="68"/>
      <c r="L300" s="68"/>
      <c r="M300" s="69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</row>
    <row r="301" spans="1:29" ht="16.5">
      <c r="A301" s="81" t="s">
        <v>13</v>
      </c>
      <c r="B301" s="51">
        <v>805</v>
      </c>
      <c r="C301" s="52" t="s">
        <v>529</v>
      </c>
      <c r="D301" s="52" t="s">
        <v>808</v>
      </c>
      <c r="E301" s="52" t="s">
        <v>499</v>
      </c>
      <c r="F301" s="52" t="s">
        <v>572</v>
      </c>
      <c r="G301" s="40">
        <v>1055.2</v>
      </c>
      <c r="H301" s="40">
        <v>1055.2</v>
      </c>
      <c r="I301" s="40">
        <v>1055.2</v>
      </c>
      <c r="J301" s="75"/>
      <c r="K301" s="68"/>
      <c r="L301" s="68"/>
      <c r="M301" s="69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</row>
    <row r="302" spans="1:29" ht="21" customHeight="1">
      <c r="A302" s="85" t="s">
        <v>403</v>
      </c>
      <c r="B302" s="51">
        <v>805</v>
      </c>
      <c r="C302" s="52" t="s">
        <v>529</v>
      </c>
      <c r="D302" s="52" t="s">
        <v>808</v>
      </c>
      <c r="E302" s="52" t="s">
        <v>463</v>
      </c>
      <c r="F302" s="52"/>
      <c r="G302" s="40">
        <f>SUM(G303)</f>
        <v>59778.3</v>
      </c>
      <c r="H302" s="40">
        <f>SUM(H303)</f>
        <v>60012.3</v>
      </c>
      <c r="I302" s="40">
        <f>SUM(I303)</f>
        <v>60471.5</v>
      </c>
      <c r="J302" s="75"/>
      <c r="K302" s="68"/>
      <c r="L302" s="68"/>
      <c r="M302" s="69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</row>
    <row r="303" spans="1:29" ht="20.25" customHeight="1">
      <c r="A303" s="81" t="s">
        <v>13</v>
      </c>
      <c r="B303" s="51">
        <v>805</v>
      </c>
      <c r="C303" s="52" t="s">
        <v>529</v>
      </c>
      <c r="D303" s="52" t="s">
        <v>808</v>
      </c>
      <c r="E303" s="52" t="s">
        <v>463</v>
      </c>
      <c r="F303" s="52" t="s">
        <v>572</v>
      </c>
      <c r="G303" s="40">
        <v>59778.3</v>
      </c>
      <c r="H303" s="40">
        <v>60012.3</v>
      </c>
      <c r="I303" s="40">
        <v>60471.5</v>
      </c>
      <c r="J303" s="75"/>
      <c r="K303" s="68"/>
      <c r="L303" s="68"/>
      <c r="M303" s="69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</row>
    <row r="304" spans="1:29" ht="16.5">
      <c r="A304" s="85" t="s">
        <v>485</v>
      </c>
      <c r="B304" s="51">
        <v>805</v>
      </c>
      <c r="C304" s="52" t="s">
        <v>529</v>
      </c>
      <c r="D304" s="52" t="s">
        <v>808</v>
      </c>
      <c r="E304" s="52" t="s">
        <v>464</v>
      </c>
      <c r="F304" s="52"/>
      <c r="G304" s="40">
        <f aca="true" t="shared" si="33" ref="G304:I305">SUM(G305)</f>
        <v>33.6</v>
      </c>
      <c r="H304" s="40">
        <f t="shared" si="33"/>
        <v>33.6</v>
      </c>
      <c r="I304" s="40">
        <f t="shared" si="33"/>
        <v>33.6</v>
      </c>
      <c r="J304" s="75"/>
      <c r="K304" s="68"/>
      <c r="L304" s="68"/>
      <c r="M304" s="69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</row>
    <row r="305" spans="1:29" ht="17.25" customHeight="1">
      <c r="A305" s="85" t="s">
        <v>403</v>
      </c>
      <c r="B305" s="51">
        <v>805</v>
      </c>
      <c r="C305" s="52" t="s">
        <v>529</v>
      </c>
      <c r="D305" s="52" t="s">
        <v>808</v>
      </c>
      <c r="E305" s="52" t="s">
        <v>465</v>
      </c>
      <c r="F305" s="52"/>
      <c r="G305" s="40">
        <f t="shared" si="33"/>
        <v>33.6</v>
      </c>
      <c r="H305" s="40">
        <f t="shared" si="33"/>
        <v>33.6</v>
      </c>
      <c r="I305" s="40">
        <f t="shared" si="33"/>
        <v>33.6</v>
      </c>
      <c r="J305" s="75"/>
      <c r="K305" s="68"/>
      <c r="L305" s="68"/>
      <c r="M305" s="69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</row>
    <row r="306" spans="1:29" ht="16.5">
      <c r="A306" s="81" t="s">
        <v>13</v>
      </c>
      <c r="B306" s="51">
        <v>805</v>
      </c>
      <c r="C306" s="52" t="s">
        <v>529</v>
      </c>
      <c r="D306" s="52" t="s">
        <v>808</v>
      </c>
      <c r="E306" s="52" t="s">
        <v>465</v>
      </c>
      <c r="F306" s="52" t="s">
        <v>572</v>
      </c>
      <c r="G306" s="40">
        <v>33.6</v>
      </c>
      <c r="H306" s="40">
        <v>33.6</v>
      </c>
      <c r="I306" s="40">
        <v>33.6</v>
      </c>
      <c r="J306" s="75"/>
      <c r="K306" s="68"/>
      <c r="L306" s="68"/>
      <c r="M306" s="69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</row>
    <row r="307" spans="1:29" ht="19.5" customHeight="1">
      <c r="A307" s="85" t="s">
        <v>332</v>
      </c>
      <c r="B307" s="51">
        <v>805</v>
      </c>
      <c r="C307" s="52" t="s">
        <v>529</v>
      </c>
      <c r="D307" s="52" t="s">
        <v>808</v>
      </c>
      <c r="E307" s="52" t="s">
        <v>466</v>
      </c>
      <c r="F307" s="52"/>
      <c r="G307" s="40">
        <f aca="true" t="shared" si="34" ref="G307:I308">SUM(G308)</f>
        <v>33.6</v>
      </c>
      <c r="H307" s="40">
        <f t="shared" si="34"/>
        <v>33.6</v>
      </c>
      <c r="I307" s="40">
        <f t="shared" si="34"/>
        <v>33.6</v>
      </c>
      <c r="J307" s="75"/>
      <c r="K307" s="68"/>
      <c r="L307" s="68"/>
      <c r="M307" s="69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</row>
    <row r="308" spans="1:29" ht="19.5" customHeight="1">
      <c r="A308" s="85" t="s">
        <v>403</v>
      </c>
      <c r="B308" s="51">
        <v>805</v>
      </c>
      <c r="C308" s="52" t="s">
        <v>529</v>
      </c>
      <c r="D308" s="52" t="s">
        <v>808</v>
      </c>
      <c r="E308" s="52" t="s">
        <v>467</v>
      </c>
      <c r="F308" s="52"/>
      <c r="G308" s="40">
        <f t="shared" si="34"/>
        <v>33.6</v>
      </c>
      <c r="H308" s="40">
        <f t="shared" si="34"/>
        <v>33.6</v>
      </c>
      <c r="I308" s="40">
        <f t="shared" si="34"/>
        <v>33.6</v>
      </c>
      <c r="J308" s="75"/>
      <c r="K308" s="68"/>
      <c r="L308" s="68"/>
      <c r="M308" s="69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</row>
    <row r="309" spans="1:29" ht="16.5">
      <c r="A309" s="81" t="s">
        <v>13</v>
      </c>
      <c r="B309" s="51">
        <v>805</v>
      </c>
      <c r="C309" s="52" t="s">
        <v>529</v>
      </c>
      <c r="D309" s="52" t="s">
        <v>808</v>
      </c>
      <c r="E309" s="52" t="s">
        <v>467</v>
      </c>
      <c r="F309" s="52" t="s">
        <v>572</v>
      </c>
      <c r="G309" s="40">
        <v>33.6</v>
      </c>
      <c r="H309" s="40">
        <v>33.6</v>
      </c>
      <c r="I309" s="40">
        <v>33.6</v>
      </c>
      <c r="J309" s="75"/>
      <c r="K309" s="68"/>
      <c r="L309" s="68"/>
      <c r="M309" s="69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</row>
    <row r="310" spans="1:29" ht="16.5">
      <c r="A310" s="81" t="s">
        <v>476</v>
      </c>
      <c r="B310" s="51">
        <v>805</v>
      </c>
      <c r="C310" s="52" t="s">
        <v>529</v>
      </c>
      <c r="D310" s="52" t="s">
        <v>808</v>
      </c>
      <c r="E310" s="52" t="s">
        <v>475</v>
      </c>
      <c r="F310" s="52"/>
      <c r="G310" s="40">
        <f>G311</f>
        <v>67068</v>
      </c>
      <c r="H310" s="40">
        <f>H311</f>
        <v>67068</v>
      </c>
      <c r="I310" s="40">
        <f>I311</f>
        <v>67068</v>
      </c>
      <c r="J310" s="75"/>
      <c r="K310" s="68"/>
      <c r="L310" s="68"/>
      <c r="M310" s="69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</row>
    <row r="311" spans="1:29" ht="18.75" customHeight="1">
      <c r="A311" s="81" t="s">
        <v>477</v>
      </c>
      <c r="B311" s="51">
        <v>805</v>
      </c>
      <c r="C311" s="52" t="s">
        <v>529</v>
      </c>
      <c r="D311" s="52" t="s">
        <v>808</v>
      </c>
      <c r="E311" s="52" t="s">
        <v>474</v>
      </c>
      <c r="F311" s="52"/>
      <c r="G311" s="40">
        <f>G314+G312</f>
        <v>67068</v>
      </c>
      <c r="H311" s="40">
        <f>H314+H312</f>
        <v>67068</v>
      </c>
      <c r="I311" s="40">
        <f>I314+I312</f>
        <v>67068</v>
      </c>
      <c r="J311" s="75"/>
      <c r="K311" s="68"/>
      <c r="L311" s="68"/>
      <c r="M311" s="69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</row>
    <row r="312" spans="1:29" ht="18.75" customHeight="1">
      <c r="A312" s="81" t="s">
        <v>606</v>
      </c>
      <c r="B312" s="51">
        <v>805</v>
      </c>
      <c r="C312" s="52" t="s">
        <v>529</v>
      </c>
      <c r="D312" s="52" t="s">
        <v>808</v>
      </c>
      <c r="E312" s="52" t="s">
        <v>478</v>
      </c>
      <c r="F312" s="52"/>
      <c r="G312" s="40">
        <f>G313</f>
        <v>47937</v>
      </c>
      <c r="H312" s="40">
        <f>H313</f>
        <v>47937</v>
      </c>
      <c r="I312" s="40">
        <f>I313</f>
        <v>47937</v>
      </c>
      <c r="J312" s="75"/>
      <c r="K312" s="68"/>
      <c r="L312" s="68"/>
      <c r="M312" s="69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</row>
    <row r="313" spans="1:29" ht="18.75" customHeight="1">
      <c r="A313" s="81" t="s">
        <v>13</v>
      </c>
      <c r="B313" s="51">
        <v>805</v>
      </c>
      <c r="C313" s="52" t="s">
        <v>529</v>
      </c>
      <c r="D313" s="52" t="s">
        <v>808</v>
      </c>
      <c r="E313" s="52" t="s">
        <v>478</v>
      </c>
      <c r="F313" s="52" t="s">
        <v>572</v>
      </c>
      <c r="G313" s="40">
        <v>47937</v>
      </c>
      <c r="H313" s="40">
        <v>47937</v>
      </c>
      <c r="I313" s="40">
        <v>47937</v>
      </c>
      <c r="J313" s="75"/>
      <c r="K313" s="68"/>
      <c r="L313" s="68"/>
      <c r="M313" s="69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</row>
    <row r="314" spans="1:29" ht="16.5">
      <c r="A314" s="81" t="s">
        <v>607</v>
      </c>
      <c r="B314" s="51">
        <v>805</v>
      </c>
      <c r="C314" s="52" t="s">
        <v>529</v>
      </c>
      <c r="D314" s="52" t="s">
        <v>808</v>
      </c>
      <c r="E314" s="52" t="s">
        <v>473</v>
      </c>
      <c r="F314" s="52"/>
      <c r="G314" s="40">
        <f>G315</f>
        <v>19131</v>
      </c>
      <c r="H314" s="40">
        <f>H315</f>
        <v>19131</v>
      </c>
      <c r="I314" s="40">
        <f>I315</f>
        <v>19131</v>
      </c>
      <c r="J314" s="75"/>
      <c r="K314" s="68"/>
      <c r="L314" s="68"/>
      <c r="M314" s="69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</row>
    <row r="315" spans="1:29" ht="16.5">
      <c r="A315" s="81" t="s">
        <v>13</v>
      </c>
      <c r="B315" s="51">
        <v>805</v>
      </c>
      <c r="C315" s="52" t="s">
        <v>529</v>
      </c>
      <c r="D315" s="52" t="s">
        <v>808</v>
      </c>
      <c r="E315" s="52" t="s">
        <v>473</v>
      </c>
      <c r="F315" s="52" t="s">
        <v>572</v>
      </c>
      <c r="G315" s="40">
        <v>19131</v>
      </c>
      <c r="H315" s="40">
        <v>19131</v>
      </c>
      <c r="I315" s="40">
        <v>19131</v>
      </c>
      <c r="J315" s="75"/>
      <c r="K315" s="68"/>
      <c r="L315" s="68"/>
      <c r="M315" s="69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</row>
    <row r="316" spans="1:29" ht="18.75" customHeight="1">
      <c r="A316" s="81" t="s">
        <v>29</v>
      </c>
      <c r="B316" s="51">
        <v>805</v>
      </c>
      <c r="C316" s="52" t="s">
        <v>529</v>
      </c>
      <c r="D316" s="52" t="s">
        <v>808</v>
      </c>
      <c r="E316" s="52" t="s">
        <v>30</v>
      </c>
      <c r="F316" s="52"/>
      <c r="G316" s="40">
        <f>G317</f>
        <v>194621.7</v>
      </c>
      <c r="H316" s="40">
        <f>H317</f>
        <v>180244.30000000002</v>
      </c>
      <c r="I316" s="40">
        <f>I317</f>
        <v>180244.30000000002</v>
      </c>
      <c r="J316" s="75"/>
      <c r="K316" s="68"/>
      <c r="L316" s="68"/>
      <c r="M316" s="69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</row>
    <row r="317" spans="1:29" ht="18.75" customHeight="1">
      <c r="A317" s="81" t="s">
        <v>34</v>
      </c>
      <c r="B317" s="51">
        <v>805</v>
      </c>
      <c r="C317" s="52" t="s">
        <v>529</v>
      </c>
      <c r="D317" s="52" t="s">
        <v>808</v>
      </c>
      <c r="E317" s="52" t="s">
        <v>33</v>
      </c>
      <c r="F317" s="52"/>
      <c r="G317" s="40">
        <f>G318+G322+G320</f>
        <v>194621.7</v>
      </c>
      <c r="H317" s="40">
        <f>H318+H322+H320</f>
        <v>180244.30000000002</v>
      </c>
      <c r="I317" s="40">
        <f>I318+I322+I320</f>
        <v>180244.30000000002</v>
      </c>
      <c r="J317" s="75"/>
      <c r="K317" s="68"/>
      <c r="L317" s="68"/>
      <c r="M317" s="69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</row>
    <row r="318" spans="1:29" ht="87.75" customHeight="1">
      <c r="A318" s="81" t="s">
        <v>608</v>
      </c>
      <c r="B318" s="51">
        <v>805</v>
      </c>
      <c r="C318" s="52" t="s">
        <v>529</v>
      </c>
      <c r="D318" s="52" t="s">
        <v>808</v>
      </c>
      <c r="E318" s="52" t="s">
        <v>35</v>
      </c>
      <c r="F318" s="52"/>
      <c r="G318" s="40">
        <f>G319</f>
        <v>123855.7</v>
      </c>
      <c r="H318" s="40">
        <f>H319</f>
        <v>117659.3</v>
      </c>
      <c r="I318" s="40">
        <f>I319</f>
        <v>117659.3</v>
      </c>
      <c r="J318" s="75"/>
      <c r="K318" s="68"/>
      <c r="L318" s="68"/>
      <c r="M318" s="69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</row>
    <row r="319" spans="1:29" ht="21" customHeight="1">
      <c r="A319" s="81" t="s">
        <v>13</v>
      </c>
      <c r="B319" s="51">
        <v>805</v>
      </c>
      <c r="C319" s="52" t="s">
        <v>529</v>
      </c>
      <c r="D319" s="52" t="s">
        <v>808</v>
      </c>
      <c r="E319" s="52" t="s">
        <v>35</v>
      </c>
      <c r="F319" s="52" t="s">
        <v>572</v>
      </c>
      <c r="G319" s="40">
        <v>123855.7</v>
      </c>
      <c r="H319" s="40">
        <v>117659.3</v>
      </c>
      <c r="I319" s="40">
        <v>117659.3</v>
      </c>
      <c r="J319" s="75"/>
      <c r="K319" s="68"/>
      <c r="L319" s="68"/>
      <c r="M319" s="69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</row>
    <row r="320" spans="1:29" ht="72" customHeight="1">
      <c r="A320" s="103" t="s">
        <v>609</v>
      </c>
      <c r="B320" s="51">
        <v>805</v>
      </c>
      <c r="C320" s="52" t="s">
        <v>529</v>
      </c>
      <c r="D320" s="52" t="s">
        <v>808</v>
      </c>
      <c r="E320" s="52" t="s">
        <v>481</v>
      </c>
      <c r="F320" s="52"/>
      <c r="G320" s="40">
        <f>G321</f>
        <v>70409.6</v>
      </c>
      <c r="H320" s="40">
        <f>H321</f>
        <v>62246.4</v>
      </c>
      <c r="I320" s="40">
        <f>I321</f>
        <v>62246.4</v>
      </c>
      <c r="J320" s="75"/>
      <c r="K320" s="68"/>
      <c r="L320" s="68"/>
      <c r="M320" s="69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</row>
    <row r="321" spans="1:29" ht="21" customHeight="1">
      <c r="A321" s="81" t="s">
        <v>13</v>
      </c>
      <c r="B321" s="51">
        <v>805</v>
      </c>
      <c r="C321" s="52" t="s">
        <v>529</v>
      </c>
      <c r="D321" s="52" t="s">
        <v>808</v>
      </c>
      <c r="E321" s="52" t="s">
        <v>481</v>
      </c>
      <c r="F321" s="52" t="s">
        <v>572</v>
      </c>
      <c r="G321" s="40">
        <v>70409.6</v>
      </c>
      <c r="H321" s="40">
        <v>62246.4</v>
      </c>
      <c r="I321" s="40">
        <v>62246.4</v>
      </c>
      <c r="J321" s="75"/>
      <c r="K321" s="68"/>
      <c r="L321" s="68"/>
      <c r="M321" s="69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</row>
    <row r="322" spans="1:29" ht="36" customHeight="1">
      <c r="A322" s="104" t="s">
        <v>472</v>
      </c>
      <c r="B322" s="51">
        <v>805</v>
      </c>
      <c r="C322" s="52" t="s">
        <v>529</v>
      </c>
      <c r="D322" s="52" t="s">
        <v>808</v>
      </c>
      <c r="E322" s="52" t="s">
        <v>471</v>
      </c>
      <c r="F322" s="52"/>
      <c r="G322" s="40">
        <f>G323</f>
        <v>356.4</v>
      </c>
      <c r="H322" s="40">
        <f>H323</f>
        <v>338.6</v>
      </c>
      <c r="I322" s="40">
        <f>I323</f>
        <v>338.6</v>
      </c>
      <c r="J322" s="75"/>
      <c r="K322" s="68"/>
      <c r="L322" s="68"/>
      <c r="M322" s="69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</row>
    <row r="323" spans="1:29" ht="21" customHeight="1">
      <c r="A323" s="81" t="s">
        <v>13</v>
      </c>
      <c r="B323" s="51">
        <v>805</v>
      </c>
      <c r="C323" s="52" t="s">
        <v>529</v>
      </c>
      <c r="D323" s="52" t="s">
        <v>808</v>
      </c>
      <c r="E323" s="52" t="s">
        <v>471</v>
      </c>
      <c r="F323" s="52" t="s">
        <v>572</v>
      </c>
      <c r="G323" s="40">
        <v>356.4</v>
      </c>
      <c r="H323" s="40">
        <v>338.6</v>
      </c>
      <c r="I323" s="40">
        <v>338.6</v>
      </c>
      <c r="J323" s="75"/>
      <c r="K323" s="68"/>
      <c r="L323" s="68"/>
      <c r="M323" s="69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</row>
    <row r="324" spans="1:29" ht="18.75" customHeight="1" hidden="1">
      <c r="A324" s="81" t="s">
        <v>40</v>
      </c>
      <c r="B324" s="51">
        <v>805</v>
      </c>
      <c r="C324" s="52" t="s">
        <v>529</v>
      </c>
      <c r="D324" s="52" t="s">
        <v>809</v>
      </c>
      <c r="E324" s="52"/>
      <c r="F324" s="52"/>
      <c r="G324" s="40">
        <f>G325</f>
        <v>0</v>
      </c>
      <c r="H324" s="40">
        <f aca="true" t="shared" si="35" ref="H324:I326">H325</f>
        <v>0</v>
      </c>
      <c r="I324" s="40">
        <f t="shared" si="35"/>
        <v>0</v>
      </c>
      <c r="J324" s="75"/>
      <c r="K324" s="68"/>
      <c r="L324" s="68"/>
      <c r="M324" s="69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</row>
    <row r="325" spans="1:29" ht="18.75" customHeight="1" hidden="1">
      <c r="A325" s="81" t="s">
        <v>41</v>
      </c>
      <c r="B325" s="51">
        <v>805</v>
      </c>
      <c r="C325" s="52" t="s">
        <v>529</v>
      </c>
      <c r="D325" s="52" t="s">
        <v>809</v>
      </c>
      <c r="E325" s="52" t="s">
        <v>38</v>
      </c>
      <c r="F325" s="52"/>
      <c r="G325" s="40">
        <f>G326</f>
        <v>0</v>
      </c>
      <c r="H325" s="40">
        <f t="shared" si="35"/>
        <v>0</v>
      </c>
      <c r="I325" s="40">
        <f t="shared" si="35"/>
        <v>0</v>
      </c>
      <c r="J325" s="75"/>
      <c r="K325" s="68"/>
      <c r="L325" s="68"/>
      <c r="M325" s="69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</row>
    <row r="326" spans="1:29" ht="18.75" customHeight="1" hidden="1">
      <c r="A326" s="85" t="s">
        <v>403</v>
      </c>
      <c r="B326" s="51">
        <v>805</v>
      </c>
      <c r="C326" s="52" t="s">
        <v>529</v>
      </c>
      <c r="D326" s="52" t="s">
        <v>809</v>
      </c>
      <c r="E326" s="52" t="s">
        <v>39</v>
      </c>
      <c r="F326" s="52"/>
      <c r="G326" s="40">
        <f>G327</f>
        <v>0</v>
      </c>
      <c r="H326" s="40">
        <f t="shared" si="35"/>
        <v>0</v>
      </c>
      <c r="I326" s="40">
        <f t="shared" si="35"/>
        <v>0</v>
      </c>
      <c r="J326" s="75"/>
      <c r="K326" s="68"/>
      <c r="L326" s="68"/>
      <c r="M326" s="69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</row>
    <row r="327" spans="1:29" ht="18.75" customHeight="1" hidden="1">
      <c r="A327" s="81" t="s">
        <v>13</v>
      </c>
      <c r="B327" s="51">
        <v>805</v>
      </c>
      <c r="C327" s="52" t="s">
        <v>529</v>
      </c>
      <c r="D327" s="52" t="s">
        <v>809</v>
      </c>
      <c r="E327" s="52" t="s">
        <v>39</v>
      </c>
      <c r="F327" s="52" t="s">
        <v>572</v>
      </c>
      <c r="G327" s="40"/>
      <c r="H327" s="40"/>
      <c r="I327" s="40"/>
      <c r="J327" s="75"/>
      <c r="K327" s="68"/>
      <c r="L327" s="68"/>
      <c r="M327" s="69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</row>
    <row r="328" spans="1:29" ht="18" customHeight="1" hidden="1">
      <c r="A328" s="85" t="s">
        <v>573</v>
      </c>
      <c r="B328" s="52" t="s">
        <v>14</v>
      </c>
      <c r="C328" s="52" t="s">
        <v>529</v>
      </c>
      <c r="D328" s="52" t="s">
        <v>59</v>
      </c>
      <c r="E328" s="52"/>
      <c r="F328" s="52"/>
      <c r="G328" s="40">
        <f>SUM(G329,)</f>
        <v>0</v>
      </c>
      <c r="H328" s="40">
        <f>SUM(H329,)</f>
        <v>0</v>
      </c>
      <c r="I328" s="40">
        <f>SUM(I329,)</f>
        <v>0</v>
      </c>
      <c r="J328" s="75"/>
      <c r="K328" s="68"/>
      <c r="L328" s="68"/>
      <c r="M328" s="69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</row>
    <row r="329" spans="1:29" ht="18.75" customHeight="1" hidden="1">
      <c r="A329" s="86" t="s">
        <v>551</v>
      </c>
      <c r="B329" s="51">
        <v>805</v>
      </c>
      <c r="C329" s="52" t="s">
        <v>529</v>
      </c>
      <c r="D329" s="52" t="s">
        <v>59</v>
      </c>
      <c r="E329" s="52" t="s">
        <v>550</v>
      </c>
      <c r="F329" s="52"/>
      <c r="G329" s="40">
        <f>SUM(G330,G332)</f>
        <v>0</v>
      </c>
      <c r="H329" s="40">
        <f>SUM(H330,H332)</f>
        <v>0</v>
      </c>
      <c r="I329" s="40">
        <f>SUM(I330,I332)</f>
        <v>0</v>
      </c>
      <c r="J329" s="75"/>
      <c r="K329" s="68"/>
      <c r="L329" s="68"/>
      <c r="M329" s="69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</row>
    <row r="330" spans="1:29" ht="20.25" customHeight="1" hidden="1">
      <c r="A330" s="85" t="s">
        <v>496</v>
      </c>
      <c r="B330" s="51">
        <v>805</v>
      </c>
      <c r="C330" s="52" t="s">
        <v>529</v>
      </c>
      <c r="D330" s="52" t="s">
        <v>59</v>
      </c>
      <c r="E330" s="52" t="s">
        <v>553</v>
      </c>
      <c r="F330" s="52"/>
      <c r="G330" s="40">
        <f>SUM(G331)</f>
        <v>0</v>
      </c>
      <c r="H330" s="40">
        <f>SUM(H331)</f>
        <v>0</v>
      </c>
      <c r="I330" s="40">
        <f>SUM(I331)</f>
        <v>0</v>
      </c>
      <c r="J330" s="75"/>
      <c r="K330" s="68"/>
      <c r="L330" s="68"/>
      <c r="M330" s="69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</row>
    <row r="331" spans="1:29" ht="18" customHeight="1" hidden="1">
      <c r="A331" s="81" t="s">
        <v>13</v>
      </c>
      <c r="B331" s="51">
        <v>805</v>
      </c>
      <c r="C331" s="52" t="s">
        <v>529</v>
      </c>
      <c r="D331" s="52" t="s">
        <v>59</v>
      </c>
      <c r="E331" s="52" t="s">
        <v>553</v>
      </c>
      <c r="F331" s="52" t="s">
        <v>572</v>
      </c>
      <c r="G331" s="40"/>
      <c r="H331" s="40"/>
      <c r="I331" s="40"/>
      <c r="J331" s="75"/>
      <c r="K331" s="68"/>
      <c r="L331" s="68"/>
      <c r="M331" s="69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</row>
    <row r="332" spans="1:29" ht="19.5" customHeight="1" hidden="1">
      <c r="A332" s="85" t="s">
        <v>403</v>
      </c>
      <c r="B332" s="51">
        <v>805</v>
      </c>
      <c r="C332" s="52" t="s">
        <v>529</v>
      </c>
      <c r="D332" s="52" t="s">
        <v>59</v>
      </c>
      <c r="E332" s="52" t="s">
        <v>552</v>
      </c>
      <c r="F332" s="52"/>
      <c r="G332" s="40">
        <f>SUM(G333)</f>
        <v>0</v>
      </c>
      <c r="H332" s="40">
        <f>SUM(H333)</f>
        <v>0</v>
      </c>
      <c r="I332" s="40">
        <f>SUM(I333)</f>
        <v>0</v>
      </c>
      <c r="J332" s="75"/>
      <c r="K332" s="68"/>
      <c r="L332" s="68"/>
      <c r="M332" s="69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</row>
    <row r="333" spans="1:29" ht="18" customHeight="1" hidden="1">
      <c r="A333" s="81" t="s">
        <v>13</v>
      </c>
      <c r="B333" s="51">
        <v>805</v>
      </c>
      <c r="C333" s="52" t="s">
        <v>529</v>
      </c>
      <c r="D333" s="52" t="s">
        <v>59</v>
      </c>
      <c r="E333" s="52" t="s">
        <v>552</v>
      </c>
      <c r="F333" s="52" t="s">
        <v>572</v>
      </c>
      <c r="G333" s="40"/>
      <c r="H333" s="40"/>
      <c r="I333" s="40"/>
      <c r="J333" s="75"/>
      <c r="K333" s="68"/>
      <c r="L333" s="68"/>
      <c r="M333" s="69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</row>
    <row r="334" spans="1:29" ht="20.25" customHeight="1">
      <c r="A334" s="85" t="s">
        <v>250</v>
      </c>
      <c r="B334" s="51">
        <v>805</v>
      </c>
      <c r="C334" s="52" t="s">
        <v>529</v>
      </c>
      <c r="D334" s="52" t="s">
        <v>529</v>
      </c>
      <c r="E334" s="52"/>
      <c r="F334" s="52"/>
      <c r="G334" s="40">
        <f>G335+G337</f>
        <v>6391.3</v>
      </c>
      <c r="H334" s="40">
        <f>H335+H337</f>
        <v>6071.6</v>
      </c>
      <c r="I334" s="40">
        <f>I335+I337</f>
        <v>6071.6</v>
      </c>
      <c r="J334" s="75"/>
      <c r="K334" s="68"/>
      <c r="L334" s="68"/>
      <c r="M334" s="69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</row>
    <row r="335" spans="1:29" ht="18" customHeight="1" hidden="1">
      <c r="A335" s="81" t="s">
        <v>226</v>
      </c>
      <c r="B335" s="51">
        <v>805</v>
      </c>
      <c r="C335" s="52" t="s">
        <v>529</v>
      </c>
      <c r="D335" s="52" t="s">
        <v>529</v>
      </c>
      <c r="E335" s="52" t="s">
        <v>494</v>
      </c>
      <c r="F335" s="52"/>
      <c r="G335" s="40">
        <f>G336</f>
        <v>0</v>
      </c>
      <c r="H335" s="40">
        <f>H336</f>
        <v>0</v>
      </c>
      <c r="I335" s="40">
        <f>I336</f>
        <v>0</v>
      </c>
      <c r="J335" s="75"/>
      <c r="K335" s="68"/>
      <c r="L335" s="68"/>
      <c r="M335" s="69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</row>
    <row r="336" spans="1:29" ht="17.25" customHeight="1" hidden="1">
      <c r="A336" s="85" t="s">
        <v>560</v>
      </c>
      <c r="B336" s="51">
        <v>805</v>
      </c>
      <c r="C336" s="52" t="s">
        <v>529</v>
      </c>
      <c r="D336" s="52" t="s">
        <v>529</v>
      </c>
      <c r="E336" s="52" t="s">
        <v>537</v>
      </c>
      <c r="F336" s="52" t="s">
        <v>559</v>
      </c>
      <c r="G336" s="40"/>
      <c r="H336" s="40"/>
      <c r="I336" s="40"/>
      <c r="J336" s="75"/>
      <c r="K336" s="68"/>
      <c r="L336" s="68"/>
      <c r="M336" s="69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</row>
    <row r="337" spans="1:29" ht="19.5" customHeight="1">
      <c r="A337" s="81" t="s">
        <v>29</v>
      </c>
      <c r="B337" s="51">
        <v>805</v>
      </c>
      <c r="C337" s="52" t="s">
        <v>529</v>
      </c>
      <c r="D337" s="52" t="s">
        <v>529</v>
      </c>
      <c r="E337" s="52" t="s">
        <v>30</v>
      </c>
      <c r="F337" s="52"/>
      <c r="G337" s="40">
        <f aca="true" t="shared" si="36" ref="G337:I339">G338</f>
        <v>6391.3</v>
      </c>
      <c r="H337" s="40">
        <f t="shared" si="36"/>
        <v>6071.6</v>
      </c>
      <c r="I337" s="40">
        <f t="shared" si="36"/>
        <v>6071.6</v>
      </c>
      <c r="J337" s="75"/>
      <c r="K337" s="68"/>
      <c r="L337" s="68"/>
      <c r="M337" s="69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</row>
    <row r="338" spans="1:29" ht="18.75" customHeight="1">
      <c r="A338" s="81" t="s">
        <v>34</v>
      </c>
      <c r="B338" s="51">
        <v>805</v>
      </c>
      <c r="C338" s="52" t="s">
        <v>529</v>
      </c>
      <c r="D338" s="52" t="s">
        <v>529</v>
      </c>
      <c r="E338" s="52" t="s">
        <v>33</v>
      </c>
      <c r="F338" s="52"/>
      <c r="G338" s="40">
        <f t="shared" si="36"/>
        <v>6391.3</v>
      </c>
      <c r="H338" s="40">
        <f t="shared" si="36"/>
        <v>6071.6</v>
      </c>
      <c r="I338" s="40">
        <f t="shared" si="36"/>
        <v>6071.6</v>
      </c>
      <c r="J338" s="75"/>
      <c r="K338" s="68"/>
      <c r="L338" s="68"/>
      <c r="M338" s="69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</row>
    <row r="339" spans="1:29" ht="90" customHeight="1">
      <c r="A339" s="81" t="s">
        <v>608</v>
      </c>
      <c r="B339" s="51">
        <v>805</v>
      </c>
      <c r="C339" s="52" t="s">
        <v>529</v>
      </c>
      <c r="D339" s="52" t="s">
        <v>529</v>
      </c>
      <c r="E339" s="52" t="s">
        <v>35</v>
      </c>
      <c r="F339" s="52"/>
      <c r="G339" s="40">
        <f t="shared" si="36"/>
        <v>6391.3</v>
      </c>
      <c r="H339" s="40">
        <f t="shared" si="36"/>
        <v>6071.6</v>
      </c>
      <c r="I339" s="40">
        <f t="shared" si="36"/>
        <v>6071.6</v>
      </c>
      <c r="J339" s="75"/>
      <c r="K339" s="68"/>
      <c r="L339" s="68"/>
      <c r="M339" s="69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</row>
    <row r="340" spans="1:29" ht="19.5" customHeight="1">
      <c r="A340" s="105" t="s">
        <v>152</v>
      </c>
      <c r="B340" s="51">
        <v>805</v>
      </c>
      <c r="C340" s="52" t="s">
        <v>529</v>
      </c>
      <c r="D340" s="52" t="s">
        <v>529</v>
      </c>
      <c r="E340" s="52" t="s">
        <v>35</v>
      </c>
      <c r="F340" s="52" t="s">
        <v>212</v>
      </c>
      <c r="G340" s="40">
        <v>6391.3</v>
      </c>
      <c r="H340" s="40">
        <v>6071.6</v>
      </c>
      <c r="I340" s="40">
        <v>6071.6</v>
      </c>
      <c r="J340" s="75"/>
      <c r="K340" s="68"/>
      <c r="L340" s="68"/>
      <c r="M340" s="69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</row>
    <row r="341" spans="1:29" ht="18" customHeight="1">
      <c r="A341" s="85" t="s">
        <v>122</v>
      </c>
      <c r="B341" s="51">
        <v>805</v>
      </c>
      <c r="C341" s="52" t="s">
        <v>529</v>
      </c>
      <c r="D341" s="52" t="s">
        <v>57</v>
      </c>
      <c r="E341" s="52"/>
      <c r="F341" s="52"/>
      <c r="G341" s="40">
        <f>SUM(G342,G345,G350,G367,G364)</f>
        <v>75675.1</v>
      </c>
      <c r="H341" s="40">
        <f>SUM(H342,H345,H350,H367,H364)</f>
        <v>72810.2</v>
      </c>
      <c r="I341" s="40">
        <f>SUM(I342,I345,I350,I367,I364)</f>
        <v>78576.4</v>
      </c>
      <c r="J341" s="75"/>
      <c r="K341" s="68"/>
      <c r="L341" s="68"/>
      <c r="M341" s="69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</row>
    <row r="342" spans="1:29" ht="38.25" customHeight="1">
      <c r="A342" s="81" t="s">
        <v>42</v>
      </c>
      <c r="B342" s="51">
        <v>805</v>
      </c>
      <c r="C342" s="52" t="s">
        <v>529</v>
      </c>
      <c r="D342" s="52" t="s">
        <v>57</v>
      </c>
      <c r="E342" s="52" t="s">
        <v>43</v>
      </c>
      <c r="F342" s="52"/>
      <c r="G342" s="40">
        <f aca="true" t="shared" si="37" ref="G342:I343">SUM(G343)</f>
        <v>12645</v>
      </c>
      <c r="H342" s="40">
        <f t="shared" si="37"/>
        <v>12684.300000000001</v>
      </c>
      <c r="I342" s="40">
        <f t="shared" si="37"/>
        <v>12750.400000000001</v>
      </c>
      <c r="J342" s="75"/>
      <c r="K342" s="68"/>
      <c r="L342" s="68"/>
      <c r="M342" s="69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</row>
    <row r="343" spans="1:29" ht="18.75" customHeight="1">
      <c r="A343" s="81" t="s">
        <v>47</v>
      </c>
      <c r="B343" s="51">
        <v>805</v>
      </c>
      <c r="C343" s="52" t="s">
        <v>529</v>
      </c>
      <c r="D343" s="52" t="s">
        <v>151</v>
      </c>
      <c r="E343" s="52" t="s">
        <v>45</v>
      </c>
      <c r="F343" s="52"/>
      <c r="G343" s="40">
        <f t="shared" si="37"/>
        <v>12645</v>
      </c>
      <c r="H343" s="40">
        <f t="shared" si="37"/>
        <v>12684.300000000001</v>
      </c>
      <c r="I343" s="40">
        <f t="shared" si="37"/>
        <v>12750.400000000001</v>
      </c>
      <c r="J343" s="75"/>
      <c r="K343" s="68"/>
      <c r="L343" s="68"/>
      <c r="M343" s="69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</row>
    <row r="344" spans="1:29" ht="18.75" customHeight="1">
      <c r="A344" s="82" t="s">
        <v>361</v>
      </c>
      <c r="B344" s="51">
        <v>805</v>
      </c>
      <c r="C344" s="52" t="s">
        <v>529</v>
      </c>
      <c r="D344" s="52" t="s">
        <v>57</v>
      </c>
      <c r="E344" s="52" t="s">
        <v>45</v>
      </c>
      <c r="F344" s="52" t="s">
        <v>214</v>
      </c>
      <c r="G344" s="40">
        <f>12329.8+315.2</f>
        <v>12645</v>
      </c>
      <c r="H344" s="40">
        <f>12369.1+315.2</f>
        <v>12684.300000000001</v>
      </c>
      <c r="I344" s="40">
        <f>12435.2+315.2</f>
        <v>12750.400000000001</v>
      </c>
      <c r="J344" s="75"/>
      <c r="K344" s="68"/>
      <c r="L344" s="68"/>
      <c r="M344" s="69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</row>
    <row r="345" spans="1:29" ht="36.75" customHeight="1">
      <c r="A345" s="81" t="s">
        <v>0</v>
      </c>
      <c r="B345" s="51">
        <v>805</v>
      </c>
      <c r="C345" s="52" t="s">
        <v>529</v>
      </c>
      <c r="D345" s="52" t="s">
        <v>57</v>
      </c>
      <c r="E345" s="52" t="s">
        <v>555</v>
      </c>
      <c r="F345" s="52"/>
      <c r="G345" s="40">
        <f>SUM(G346,G348)</f>
        <v>47975.9</v>
      </c>
      <c r="H345" s="40">
        <f>SUM(H346,H348)</f>
        <v>48192.3</v>
      </c>
      <c r="I345" s="40">
        <f>SUM(I346,I348)</f>
        <v>48577</v>
      </c>
      <c r="J345" s="75"/>
      <c r="K345" s="68"/>
      <c r="L345" s="68"/>
      <c r="M345" s="69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</row>
    <row r="346" spans="1:29" ht="18.75" customHeight="1">
      <c r="A346" s="85" t="s">
        <v>496</v>
      </c>
      <c r="B346" s="51">
        <v>805</v>
      </c>
      <c r="C346" s="52" t="s">
        <v>529</v>
      </c>
      <c r="D346" s="52" t="s">
        <v>57</v>
      </c>
      <c r="E346" s="52" t="s">
        <v>500</v>
      </c>
      <c r="F346" s="52"/>
      <c r="G346" s="40">
        <f>SUM(G347)</f>
        <v>469.3</v>
      </c>
      <c r="H346" s="40">
        <f>SUM(H347)</f>
        <v>469.3</v>
      </c>
      <c r="I346" s="40">
        <f>SUM(I347)</f>
        <v>469.3</v>
      </c>
      <c r="J346" s="75"/>
      <c r="K346" s="68"/>
      <c r="L346" s="68"/>
      <c r="M346" s="69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</row>
    <row r="347" spans="1:29" ht="16.5">
      <c r="A347" s="81" t="s">
        <v>13</v>
      </c>
      <c r="B347" s="51">
        <v>805</v>
      </c>
      <c r="C347" s="52" t="s">
        <v>529</v>
      </c>
      <c r="D347" s="52" t="s">
        <v>57</v>
      </c>
      <c r="E347" s="52" t="s">
        <v>500</v>
      </c>
      <c r="F347" s="52" t="s">
        <v>572</v>
      </c>
      <c r="G347" s="40">
        <v>469.3</v>
      </c>
      <c r="H347" s="40">
        <v>469.3</v>
      </c>
      <c r="I347" s="40">
        <v>469.3</v>
      </c>
      <c r="J347" s="75"/>
      <c r="K347" s="68"/>
      <c r="L347" s="68"/>
      <c r="M347" s="69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</row>
    <row r="348" spans="1:29" ht="19.5" customHeight="1">
      <c r="A348" s="85" t="s">
        <v>403</v>
      </c>
      <c r="B348" s="51">
        <v>805</v>
      </c>
      <c r="C348" s="52" t="s">
        <v>529</v>
      </c>
      <c r="D348" s="52" t="s">
        <v>57</v>
      </c>
      <c r="E348" s="52" t="s">
        <v>556</v>
      </c>
      <c r="F348" s="52"/>
      <c r="G348" s="40">
        <f>SUM(G349)</f>
        <v>47506.6</v>
      </c>
      <c r="H348" s="40">
        <f>SUM(H349)</f>
        <v>47723</v>
      </c>
      <c r="I348" s="40">
        <f>SUM(I349)</f>
        <v>48107.7</v>
      </c>
      <c r="J348" s="75"/>
      <c r="K348" s="68"/>
      <c r="L348" s="68"/>
      <c r="M348" s="69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</row>
    <row r="349" spans="1:29" ht="19.5" customHeight="1">
      <c r="A349" s="81" t="s">
        <v>13</v>
      </c>
      <c r="B349" s="51">
        <v>805</v>
      </c>
      <c r="C349" s="52" t="s">
        <v>529</v>
      </c>
      <c r="D349" s="52" t="s">
        <v>57</v>
      </c>
      <c r="E349" s="52" t="s">
        <v>556</v>
      </c>
      <c r="F349" s="52" t="s">
        <v>572</v>
      </c>
      <c r="G349" s="40">
        <v>47506.6</v>
      </c>
      <c r="H349" s="40">
        <v>47723</v>
      </c>
      <c r="I349" s="40">
        <v>48107.7</v>
      </c>
      <c r="J349" s="75"/>
      <c r="K349" s="68"/>
      <c r="L349" s="68"/>
      <c r="M349" s="69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</row>
    <row r="350" spans="1:29" ht="19.5" customHeight="1">
      <c r="A350" s="82" t="s">
        <v>297</v>
      </c>
      <c r="B350" s="51">
        <v>805</v>
      </c>
      <c r="C350" s="52" t="s">
        <v>529</v>
      </c>
      <c r="D350" s="52" t="s">
        <v>57</v>
      </c>
      <c r="E350" s="52" t="s">
        <v>395</v>
      </c>
      <c r="F350" s="52"/>
      <c r="G350" s="40">
        <f>G351+G358+G356+G362+G360</f>
        <v>4549.8</v>
      </c>
      <c r="H350" s="40">
        <f>H351+H358+H356+H362+H360</f>
        <v>2727.4</v>
      </c>
      <c r="I350" s="40">
        <f>I351+I358+I356+I362+I360</f>
        <v>6238.299999999999</v>
      </c>
      <c r="J350" s="75"/>
      <c r="K350" s="68"/>
      <c r="L350" s="68"/>
      <c r="M350" s="69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</row>
    <row r="351" spans="1:29" ht="34.5" customHeight="1" hidden="1">
      <c r="A351" s="50" t="s">
        <v>284</v>
      </c>
      <c r="B351" s="51">
        <v>805</v>
      </c>
      <c r="C351" s="52" t="s">
        <v>529</v>
      </c>
      <c r="D351" s="52" t="s">
        <v>57</v>
      </c>
      <c r="E351" s="52" t="s">
        <v>282</v>
      </c>
      <c r="F351" s="52"/>
      <c r="G351" s="40">
        <f>SUM(G352,G354)</f>
        <v>0</v>
      </c>
      <c r="H351" s="40">
        <f>SUM(H352,H354)</f>
        <v>0</v>
      </c>
      <c r="I351" s="40">
        <f>SUM(I352,I354)</f>
        <v>0</v>
      </c>
      <c r="J351" s="75"/>
      <c r="K351" s="68"/>
      <c r="L351" s="68"/>
      <c r="M351" s="69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</row>
    <row r="352" spans="1:29" ht="39" customHeight="1" hidden="1">
      <c r="A352" s="50" t="s">
        <v>285</v>
      </c>
      <c r="B352" s="51">
        <v>805</v>
      </c>
      <c r="C352" s="52" t="s">
        <v>529</v>
      </c>
      <c r="D352" s="52" t="s">
        <v>57</v>
      </c>
      <c r="E352" s="52" t="s">
        <v>298</v>
      </c>
      <c r="F352" s="52"/>
      <c r="G352" s="40">
        <f>SUM(G353)</f>
        <v>0</v>
      </c>
      <c r="H352" s="40">
        <f>SUM(H353)</f>
        <v>0</v>
      </c>
      <c r="I352" s="40">
        <f>SUM(I353)</f>
        <v>0</v>
      </c>
      <c r="J352" s="75"/>
      <c r="K352" s="68"/>
      <c r="L352" s="68"/>
      <c r="M352" s="69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</row>
    <row r="353" spans="1:29" ht="18" customHeight="1" hidden="1">
      <c r="A353" s="82" t="s">
        <v>523</v>
      </c>
      <c r="B353" s="51">
        <v>805</v>
      </c>
      <c r="C353" s="52" t="s">
        <v>529</v>
      </c>
      <c r="D353" s="52" t="s">
        <v>57</v>
      </c>
      <c r="E353" s="52" t="s">
        <v>298</v>
      </c>
      <c r="F353" s="52" t="s">
        <v>120</v>
      </c>
      <c r="G353" s="40"/>
      <c r="H353" s="40"/>
      <c r="I353" s="40"/>
      <c r="J353" s="75"/>
      <c r="K353" s="68"/>
      <c r="L353" s="68"/>
      <c r="M353" s="69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</row>
    <row r="354" spans="1:29" ht="35.25" customHeight="1" hidden="1">
      <c r="A354" s="50" t="s">
        <v>519</v>
      </c>
      <c r="B354" s="51">
        <v>805</v>
      </c>
      <c r="C354" s="52" t="s">
        <v>529</v>
      </c>
      <c r="D354" s="52" t="s">
        <v>57</v>
      </c>
      <c r="E354" s="52" t="s">
        <v>299</v>
      </c>
      <c r="F354" s="52"/>
      <c r="G354" s="40">
        <f>SUM(G355)</f>
        <v>0</v>
      </c>
      <c r="H354" s="40">
        <f>SUM(H355)</f>
        <v>0</v>
      </c>
      <c r="I354" s="40">
        <f>SUM(I355)</f>
        <v>0</v>
      </c>
      <c r="J354" s="75"/>
      <c r="K354" s="68"/>
      <c r="L354" s="68"/>
      <c r="M354" s="69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</row>
    <row r="355" spans="1:29" ht="18.75" customHeight="1" hidden="1">
      <c r="A355" s="82" t="s">
        <v>522</v>
      </c>
      <c r="B355" s="51">
        <v>805</v>
      </c>
      <c r="C355" s="52" t="s">
        <v>529</v>
      </c>
      <c r="D355" s="52" t="s">
        <v>57</v>
      </c>
      <c r="E355" s="52" t="s">
        <v>299</v>
      </c>
      <c r="F355" s="52" t="s">
        <v>120</v>
      </c>
      <c r="G355" s="40"/>
      <c r="H355" s="40"/>
      <c r="I355" s="40"/>
      <c r="J355" s="75"/>
      <c r="K355" s="68"/>
      <c r="L355" s="68"/>
      <c r="M355" s="69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</row>
    <row r="356" spans="1:29" ht="18.75" customHeight="1" hidden="1">
      <c r="A356" s="50" t="s">
        <v>787</v>
      </c>
      <c r="B356" s="51">
        <v>805</v>
      </c>
      <c r="C356" s="52" t="s">
        <v>529</v>
      </c>
      <c r="D356" s="52" t="s">
        <v>57</v>
      </c>
      <c r="E356" s="52" t="s">
        <v>301</v>
      </c>
      <c r="F356" s="52"/>
      <c r="G356" s="40">
        <f>SUM(G357)</f>
        <v>0</v>
      </c>
      <c r="H356" s="40">
        <f>SUM(H357)</f>
        <v>0</v>
      </c>
      <c r="I356" s="40">
        <f>SUM(I357)</f>
        <v>0</v>
      </c>
      <c r="J356" s="75"/>
      <c r="K356" s="68"/>
      <c r="L356" s="68"/>
      <c r="M356" s="69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</row>
    <row r="357" spans="1:29" ht="18.75" customHeight="1" hidden="1">
      <c r="A357" s="82" t="s">
        <v>522</v>
      </c>
      <c r="B357" s="51">
        <v>805</v>
      </c>
      <c r="C357" s="52" t="s">
        <v>529</v>
      </c>
      <c r="D357" s="52" t="s">
        <v>57</v>
      </c>
      <c r="E357" s="52" t="s">
        <v>301</v>
      </c>
      <c r="F357" s="52" t="s">
        <v>120</v>
      </c>
      <c r="G357" s="40"/>
      <c r="H357" s="40"/>
      <c r="I357" s="40"/>
      <c r="J357" s="75"/>
      <c r="K357" s="68"/>
      <c r="L357" s="68"/>
      <c r="M357" s="69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</row>
    <row r="358" spans="1:29" ht="33.75" customHeight="1" hidden="1">
      <c r="A358" s="50" t="s">
        <v>334</v>
      </c>
      <c r="B358" s="51">
        <v>805</v>
      </c>
      <c r="C358" s="52" t="s">
        <v>529</v>
      </c>
      <c r="D358" s="52" t="s">
        <v>57</v>
      </c>
      <c r="E358" s="52" t="s">
        <v>300</v>
      </c>
      <c r="F358" s="52"/>
      <c r="G358" s="40">
        <f>SUM(G359)</f>
        <v>0</v>
      </c>
      <c r="H358" s="40">
        <f>SUM(H359)</f>
        <v>0</v>
      </c>
      <c r="I358" s="40">
        <f>SUM(I359)</f>
        <v>0</v>
      </c>
      <c r="J358" s="75"/>
      <c r="K358" s="68"/>
      <c r="L358" s="68"/>
      <c r="M358" s="69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</row>
    <row r="359" spans="1:29" ht="16.5" hidden="1">
      <c r="A359" s="82" t="s">
        <v>522</v>
      </c>
      <c r="B359" s="51">
        <v>805</v>
      </c>
      <c r="C359" s="52" t="s">
        <v>529</v>
      </c>
      <c r="D359" s="52" t="s">
        <v>57</v>
      </c>
      <c r="E359" s="52" t="s">
        <v>300</v>
      </c>
      <c r="F359" s="52" t="s">
        <v>120</v>
      </c>
      <c r="G359" s="40"/>
      <c r="H359" s="40"/>
      <c r="I359" s="40"/>
      <c r="J359" s="75"/>
      <c r="K359" s="68"/>
      <c r="L359" s="68"/>
      <c r="M359" s="69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</row>
    <row r="360" spans="1:29" ht="33">
      <c r="A360" s="82" t="s">
        <v>611</v>
      </c>
      <c r="B360" s="51">
        <v>805</v>
      </c>
      <c r="C360" s="52" t="s">
        <v>529</v>
      </c>
      <c r="D360" s="52" t="s">
        <v>57</v>
      </c>
      <c r="E360" s="52" t="s">
        <v>479</v>
      </c>
      <c r="F360" s="83"/>
      <c r="G360" s="40">
        <f>SUM(G361)</f>
        <v>2573</v>
      </c>
      <c r="H360" s="40">
        <f>SUM(H361)</f>
        <v>2727.4</v>
      </c>
      <c r="I360" s="40">
        <f>SUM(I361)</f>
        <v>2874.7</v>
      </c>
      <c r="J360" s="75"/>
      <c r="K360" s="68"/>
      <c r="L360" s="68"/>
      <c r="M360" s="69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</row>
    <row r="361" spans="1:29" ht="16.5">
      <c r="A361" s="82" t="s">
        <v>522</v>
      </c>
      <c r="B361" s="51">
        <v>805</v>
      </c>
      <c r="C361" s="52" t="s">
        <v>529</v>
      </c>
      <c r="D361" s="52" t="s">
        <v>57</v>
      </c>
      <c r="E361" s="52" t="s">
        <v>479</v>
      </c>
      <c r="F361" s="83" t="s">
        <v>120</v>
      </c>
      <c r="G361" s="40">
        <v>2573</v>
      </c>
      <c r="H361" s="40">
        <v>2727.4</v>
      </c>
      <c r="I361" s="40">
        <v>2874.7</v>
      </c>
      <c r="J361" s="75"/>
      <c r="K361" s="68"/>
      <c r="L361" s="68"/>
      <c r="M361" s="69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</row>
    <row r="362" spans="1:29" ht="16.5">
      <c r="A362" s="82" t="s">
        <v>453</v>
      </c>
      <c r="B362" s="51">
        <v>805</v>
      </c>
      <c r="C362" s="52" t="s">
        <v>529</v>
      </c>
      <c r="D362" s="52" t="s">
        <v>57</v>
      </c>
      <c r="E362" s="52" t="s">
        <v>452</v>
      </c>
      <c r="F362" s="52"/>
      <c r="G362" s="40">
        <f>G363</f>
        <v>1976.8</v>
      </c>
      <c r="H362" s="40">
        <f>H363</f>
        <v>0</v>
      </c>
      <c r="I362" s="40">
        <f>I363</f>
        <v>3363.6</v>
      </c>
      <c r="J362" s="75"/>
      <c r="K362" s="68"/>
      <c r="L362" s="68"/>
      <c r="M362" s="69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</row>
    <row r="363" spans="1:29" ht="16.5">
      <c r="A363" s="82" t="s">
        <v>522</v>
      </c>
      <c r="B363" s="51">
        <v>805</v>
      </c>
      <c r="C363" s="52" t="s">
        <v>529</v>
      </c>
      <c r="D363" s="52" t="s">
        <v>57</v>
      </c>
      <c r="E363" s="52" t="s">
        <v>452</v>
      </c>
      <c r="F363" s="52" t="s">
        <v>120</v>
      </c>
      <c r="G363" s="40">
        <v>1976.8</v>
      </c>
      <c r="H363" s="40"/>
      <c r="I363" s="40">
        <v>3363.6</v>
      </c>
      <c r="J363" s="75"/>
      <c r="K363" s="68"/>
      <c r="L363" s="68"/>
      <c r="M363" s="69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</row>
    <row r="364" spans="1:29" ht="16.5">
      <c r="A364" s="81" t="s">
        <v>29</v>
      </c>
      <c r="B364" s="51">
        <v>805</v>
      </c>
      <c r="C364" s="52" t="s">
        <v>529</v>
      </c>
      <c r="D364" s="52" t="s">
        <v>57</v>
      </c>
      <c r="E364" s="52" t="s">
        <v>30</v>
      </c>
      <c r="F364" s="52"/>
      <c r="G364" s="40">
        <f aca="true" t="shared" si="38" ref="G364:I365">G365</f>
        <v>5034.9</v>
      </c>
      <c r="H364" s="40">
        <f t="shared" si="38"/>
        <v>4798.7</v>
      </c>
      <c r="I364" s="40">
        <f t="shared" si="38"/>
        <v>4798.7</v>
      </c>
      <c r="J364" s="75"/>
      <c r="K364" s="68"/>
      <c r="L364" s="68"/>
      <c r="M364" s="69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</row>
    <row r="365" spans="1:29" ht="33">
      <c r="A365" s="82" t="s">
        <v>610</v>
      </c>
      <c r="B365" s="51">
        <v>805</v>
      </c>
      <c r="C365" s="52" t="s">
        <v>529</v>
      </c>
      <c r="D365" s="52" t="s">
        <v>57</v>
      </c>
      <c r="E365" s="52" t="s">
        <v>188</v>
      </c>
      <c r="F365" s="52"/>
      <c r="G365" s="40">
        <f t="shared" si="38"/>
        <v>5034.9</v>
      </c>
      <c r="H365" s="40">
        <f t="shared" si="38"/>
        <v>4798.7</v>
      </c>
      <c r="I365" s="40">
        <f t="shared" si="38"/>
        <v>4798.7</v>
      </c>
      <c r="J365" s="75"/>
      <c r="K365" s="68"/>
      <c r="L365" s="68"/>
      <c r="M365" s="69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</row>
    <row r="366" spans="1:29" ht="16.5">
      <c r="A366" s="105" t="s">
        <v>152</v>
      </c>
      <c r="B366" s="51">
        <v>805</v>
      </c>
      <c r="C366" s="52" t="s">
        <v>529</v>
      </c>
      <c r="D366" s="52" t="s">
        <v>57</v>
      </c>
      <c r="E366" s="52" t="s">
        <v>188</v>
      </c>
      <c r="F366" s="52" t="s">
        <v>212</v>
      </c>
      <c r="G366" s="40">
        <v>5034.9</v>
      </c>
      <c r="H366" s="40">
        <v>4798.7</v>
      </c>
      <c r="I366" s="40">
        <v>4798.7</v>
      </c>
      <c r="J366" s="75"/>
      <c r="K366" s="68"/>
      <c r="L366" s="68"/>
      <c r="M366" s="69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</row>
    <row r="367" spans="1:29" ht="19.5" customHeight="1">
      <c r="A367" s="86" t="s">
        <v>364</v>
      </c>
      <c r="B367" s="51">
        <v>805</v>
      </c>
      <c r="C367" s="52" t="s">
        <v>529</v>
      </c>
      <c r="D367" s="52" t="s">
        <v>57</v>
      </c>
      <c r="E367" s="52" t="s">
        <v>358</v>
      </c>
      <c r="F367" s="52"/>
      <c r="G367" s="40">
        <f>G368+G375</f>
        <v>5469.5</v>
      </c>
      <c r="H367" s="40">
        <f>H368+H375</f>
        <v>4407.5</v>
      </c>
      <c r="I367" s="40">
        <f>I368+I375</f>
        <v>6212</v>
      </c>
      <c r="J367" s="75"/>
      <c r="K367" s="68"/>
      <c r="L367" s="68"/>
      <c r="M367" s="69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</row>
    <row r="368" spans="1:29" ht="19.5" customHeight="1">
      <c r="A368" s="86" t="s">
        <v>394</v>
      </c>
      <c r="B368" s="51">
        <v>805</v>
      </c>
      <c r="C368" s="52" t="s">
        <v>529</v>
      </c>
      <c r="D368" s="52" t="s">
        <v>57</v>
      </c>
      <c r="E368" s="52" t="s">
        <v>359</v>
      </c>
      <c r="F368" s="52"/>
      <c r="G368" s="40">
        <f>G369+G371+G373</f>
        <v>3734.1</v>
      </c>
      <c r="H368" s="40">
        <f>H369+H371+H373</f>
        <v>2672.1</v>
      </c>
      <c r="I368" s="40">
        <f>I369+I371+I373</f>
        <v>4476.6</v>
      </c>
      <c r="J368" s="75"/>
      <c r="K368" s="68"/>
      <c r="L368" s="68"/>
      <c r="M368" s="69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</row>
    <row r="369" spans="1:29" ht="18" customHeight="1">
      <c r="A369" s="85" t="s">
        <v>215</v>
      </c>
      <c r="B369" s="51">
        <v>805</v>
      </c>
      <c r="C369" s="52" t="s">
        <v>529</v>
      </c>
      <c r="D369" s="52" t="s">
        <v>57</v>
      </c>
      <c r="E369" s="52" t="s">
        <v>369</v>
      </c>
      <c r="F369" s="52"/>
      <c r="G369" s="40">
        <f>SUM(G370)</f>
        <v>1796</v>
      </c>
      <c r="H369" s="40">
        <f>SUM(H370)</f>
        <v>1675.1</v>
      </c>
      <c r="I369" s="40">
        <f>SUM(I370)</f>
        <v>1340.1</v>
      </c>
      <c r="J369" s="75"/>
      <c r="K369" s="68"/>
      <c r="L369" s="68"/>
      <c r="M369" s="69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</row>
    <row r="370" spans="1:29" ht="18.75" customHeight="1">
      <c r="A370" s="82" t="s">
        <v>522</v>
      </c>
      <c r="B370" s="51">
        <v>805</v>
      </c>
      <c r="C370" s="52" t="s">
        <v>529</v>
      </c>
      <c r="D370" s="52" t="s">
        <v>57</v>
      </c>
      <c r="E370" s="52" t="s">
        <v>369</v>
      </c>
      <c r="F370" s="52" t="s">
        <v>120</v>
      </c>
      <c r="G370" s="40">
        <v>1796</v>
      </c>
      <c r="H370" s="40">
        <v>1675.1</v>
      </c>
      <c r="I370" s="40">
        <v>1340.1</v>
      </c>
      <c r="J370" s="75"/>
      <c r="K370" s="68"/>
      <c r="L370" s="68"/>
      <c r="M370" s="69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</row>
    <row r="371" spans="1:29" ht="19.5" customHeight="1">
      <c r="A371" s="85" t="s">
        <v>796</v>
      </c>
      <c r="B371" s="51">
        <v>805</v>
      </c>
      <c r="C371" s="52" t="s">
        <v>529</v>
      </c>
      <c r="D371" s="52" t="s">
        <v>57</v>
      </c>
      <c r="E371" s="52" t="s">
        <v>365</v>
      </c>
      <c r="F371" s="52"/>
      <c r="G371" s="40">
        <f>SUM(G372)</f>
        <v>1058.1</v>
      </c>
      <c r="H371" s="40">
        <f>SUM(H372)</f>
        <v>997</v>
      </c>
      <c r="I371" s="40">
        <f>SUM(I372)</f>
        <v>3136.5</v>
      </c>
      <c r="J371" s="75"/>
      <c r="K371" s="68"/>
      <c r="L371" s="68"/>
      <c r="M371" s="69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</row>
    <row r="372" spans="1:29" ht="18.75" customHeight="1">
      <c r="A372" s="82" t="s">
        <v>522</v>
      </c>
      <c r="B372" s="51">
        <v>805</v>
      </c>
      <c r="C372" s="52" t="s">
        <v>529</v>
      </c>
      <c r="D372" s="52" t="s">
        <v>57</v>
      </c>
      <c r="E372" s="52" t="s">
        <v>365</v>
      </c>
      <c r="F372" s="52" t="s">
        <v>120</v>
      </c>
      <c r="G372" s="40">
        <v>1058.1</v>
      </c>
      <c r="H372" s="40">
        <v>997</v>
      </c>
      <c r="I372" s="40">
        <v>3136.5</v>
      </c>
      <c r="J372" s="75"/>
      <c r="K372" s="68"/>
      <c r="L372" s="68"/>
      <c r="M372" s="69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</row>
    <row r="373" spans="1:29" ht="19.5" customHeight="1" hidden="1">
      <c r="A373" s="85" t="s">
        <v>795</v>
      </c>
      <c r="B373" s="51">
        <v>805</v>
      </c>
      <c r="C373" s="52" t="s">
        <v>529</v>
      </c>
      <c r="D373" s="52" t="s">
        <v>57</v>
      </c>
      <c r="E373" s="52" t="s">
        <v>363</v>
      </c>
      <c r="F373" s="52"/>
      <c r="G373" s="40">
        <f>G374</f>
        <v>880</v>
      </c>
      <c r="H373" s="40">
        <f>H374</f>
        <v>0</v>
      </c>
      <c r="I373" s="40">
        <f>I374</f>
        <v>0</v>
      </c>
      <c r="J373" s="75"/>
      <c r="K373" s="68"/>
      <c r="L373" s="68"/>
      <c r="M373" s="69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</row>
    <row r="374" spans="1:29" ht="16.5" hidden="1">
      <c r="A374" s="82" t="s">
        <v>522</v>
      </c>
      <c r="B374" s="51">
        <v>805</v>
      </c>
      <c r="C374" s="52" t="s">
        <v>529</v>
      </c>
      <c r="D374" s="52" t="s">
        <v>57</v>
      </c>
      <c r="E374" s="52" t="s">
        <v>363</v>
      </c>
      <c r="F374" s="52" t="s">
        <v>120</v>
      </c>
      <c r="G374" s="40">
        <v>880</v>
      </c>
      <c r="H374" s="40"/>
      <c r="I374" s="40"/>
      <c r="J374" s="75"/>
      <c r="K374" s="68"/>
      <c r="L374" s="68"/>
      <c r="M374" s="69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</row>
    <row r="375" spans="1:29" ht="16.5">
      <c r="A375" s="82" t="s">
        <v>175</v>
      </c>
      <c r="B375" s="51">
        <v>805</v>
      </c>
      <c r="C375" s="52" t="s">
        <v>529</v>
      </c>
      <c r="D375" s="52" t="s">
        <v>57</v>
      </c>
      <c r="E375" s="52" t="s">
        <v>557</v>
      </c>
      <c r="F375" s="52"/>
      <c r="G375" s="40">
        <f aca="true" t="shared" si="39" ref="G375:I376">G376</f>
        <v>1735.4</v>
      </c>
      <c r="H375" s="40">
        <f t="shared" si="39"/>
        <v>1735.4</v>
      </c>
      <c r="I375" s="40">
        <f t="shared" si="39"/>
        <v>1735.4</v>
      </c>
      <c r="J375" s="75"/>
      <c r="K375" s="68"/>
      <c r="L375" s="68"/>
      <c r="M375" s="69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</row>
    <row r="376" spans="1:29" ht="16.5">
      <c r="A376" s="85" t="s">
        <v>370</v>
      </c>
      <c r="B376" s="51">
        <v>805</v>
      </c>
      <c r="C376" s="52" t="s">
        <v>529</v>
      </c>
      <c r="D376" s="52" t="s">
        <v>57</v>
      </c>
      <c r="E376" s="52" t="s">
        <v>371</v>
      </c>
      <c r="F376" s="52"/>
      <c r="G376" s="40">
        <f t="shared" si="39"/>
        <v>1735.4</v>
      </c>
      <c r="H376" s="40">
        <f t="shared" si="39"/>
        <v>1735.4</v>
      </c>
      <c r="I376" s="40">
        <f t="shared" si="39"/>
        <v>1735.4</v>
      </c>
      <c r="J376" s="75"/>
      <c r="K376" s="68"/>
      <c r="L376" s="68"/>
      <c r="M376" s="69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</row>
    <row r="377" spans="1:29" ht="16.5">
      <c r="A377" s="82" t="s">
        <v>522</v>
      </c>
      <c r="B377" s="51">
        <v>805</v>
      </c>
      <c r="C377" s="52" t="s">
        <v>529</v>
      </c>
      <c r="D377" s="52" t="s">
        <v>57</v>
      </c>
      <c r="E377" s="52" t="s">
        <v>371</v>
      </c>
      <c r="F377" s="52" t="s">
        <v>120</v>
      </c>
      <c r="G377" s="40">
        <v>1735.4</v>
      </c>
      <c r="H377" s="40">
        <v>1735.4</v>
      </c>
      <c r="I377" s="40">
        <v>1735.4</v>
      </c>
      <c r="J377" s="75"/>
      <c r="K377" s="68"/>
      <c r="L377" s="68"/>
      <c r="M377" s="69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</row>
    <row r="378" spans="1:29" ht="19.5" customHeight="1" hidden="1">
      <c r="A378" s="85" t="s">
        <v>231</v>
      </c>
      <c r="B378" s="51">
        <v>805</v>
      </c>
      <c r="C378" s="52" t="s">
        <v>60</v>
      </c>
      <c r="D378" s="52"/>
      <c r="E378" s="52"/>
      <c r="F378" s="52"/>
      <c r="G378" s="40">
        <f>G379</f>
        <v>0</v>
      </c>
      <c r="H378" s="40">
        <f aca="true" t="shared" si="40" ref="H378:I381">H379</f>
        <v>0</v>
      </c>
      <c r="I378" s="40">
        <f t="shared" si="40"/>
        <v>0</v>
      </c>
      <c r="J378" s="75"/>
      <c r="K378" s="68"/>
      <c r="L378" s="68"/>
      <c r="M378" s="69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</row>
    <row r="379" spans="1:29" ht="19.5" customHeight="1" hidden="1">
      <c r="A379" s="85" t="s">
        <v>251</v>
      </c>
      <c r="B379" s="51">
        <v>805</v>
      </c>
      <c r="C379" s="52" t="s">
        <v>60</v>
      </c>
      <c r="D379" s="52" t="s">
        <v>807</v>
      </c>
      <c r="E379" s="52"/>
      <c r="F379" s="52"/>
      <c r="G379" s="40">
        <f>G380</f>
        <v>0</v>
      </c>
      <c r="H379" s="40">
        <f t="shared" si="40"/>
        <v>0</v>
      </c>
      <c r="I379" s="40">
        <f t="shared" si="40"/>
        <v>0</v>
      </c>
      <c r="J379" s="75"/>
      <c r="K379" s="68"/>
      <c r="L379" s="68"/>
      <c r="M379" s="69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</row>
    <row r="380" spans="1:29" ht="19.5" customHeight="1" hidden="1">
      <c r="A380" s="81" t="s">
        <v>789</v>
      </c>
      <c r="B380" s="51">
        <v>805</v>
      </c>
      <c r="C380" s="52" t="s">
        <v>60</v>
      </c>
      <c r="D380" s="52" t="s">
        <v>807</v>
      </c>
      <c r="E380" s="52" t="s">
        <v>179</v>
      </c>
      <c r="F380" s="52"/>
      <c r="G380" s="40">
        <f>G381</f>
        <v>0</v>
      </c>
      <c r="H380" s="40">
        <f t="shared" si="40"/>
        <v>0</v>
      </c>
      <c r="I380" s="40">
        <f t="shared" si="40"/>
        <v>0</v>
      </c>
      <c r="J380" s="75"/>
      <c r="K380" s="68"/>
      <c r="L380" s="68"/>
      <c r="M380" s="69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</row>
    <row r="381" spans="1:29" ht="19.5" customHeight="1" hidden="1">
      <c r="A381" s="50" t="s">
        <v>180</v>
      </c>
      <c r="B381" s="51">
        <v>805</v>
      </c>
      <c r="C381" s="52" t="s">
        <v>60</v>
      </c>
      <c r="D381" s="52" t="s">
        <v>807</v>
      </c>
      <c r="E381" s="52" t="s">
        <v>181</v>
      </c>
      <c r="F381" s="52"/>
      <c r="G381" s="40">
        <f>G382</f>
        <v>0</v>
      </c>
      <c r="H381" s="40">
        <f t="shared" si="40"/>
        <v>0</v>
      </c>
      <c r="I381" s="40">
        <f t="shared" si="40"/>
        <v>0</v>
      </c>
      <c r="J381" s="75"/>
      <c r="K381" s="68"/>
      <c r="L381" s="68"/>
      <c r="M381" s="69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</row>
    <row r="382" spans="1:29" ht="19.5" customHeight="1" hidden="1">
      <c r="A382" s="50" t="s">
        <v>558</v>
      </c>
      <c r="B382" s="51">
        <v>805</v>
      </c>
      <c r="C382" s="52" t="s">
        <v>60</v>
      </c>
      <c r="D382" s="52" t="s">
        <v>807</v>
      </c>
      <c r="E382" s="52" t="s">
        <v>181</v>
      </c>
      <c r="F382" s="52" t="s">
        <v>305</v>
      </c>
      <c r="G382" s="40"/>
      <c r="H382" s="40"/>
      <c r="I382" s="40"/>
      <c r="J382" s="75"/>
      <c r="K382" s="68"/>
      <c r="L382" s="68"/>
      <c r="M382" s="69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</row>
    <row r="383" spans="1:29" ht="16.5">
      <c r="A383" s="86" t="s">
        <v>427</v>
      </c>
      <c r="B383" s="51">
        <v>805</v>
      </c>
      <c r="C383" s="52" t="s">
        <v>492</v>
      </c>
      <c r="D383" s="52"/>
      <c r="E383" s="52"/>
      <c r="F383" s="52"/>
      <c r="G383" s="40">
        <f>G384+G391+G397</f>
        <v>85118.79999999999</v>
      </c>
      <c r="H383" s="40">
        <f>H384+H391+H397</f>
        <v>80691.8</v>
      </c>
      <c r="I383" s="40">
        <f>I384+I391+I397</f>
        <v>80691.8</v>
      </c>
      <c r="J383" s="75"/>
      <c r="K383" s="68"/>
      <c r="L383" s="68"/>
      <c r="M383" s="69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</row>
    <row r="384" spans="1:29" ht="16.5">
      <c r="A384" s="82" t="s">
        <v>387</v>
      </c>
      <c r="B384" s="51">
        <v>805</v>
      </c>
      <c r="C384" s="52" t="s">
        <v>492</v>
      </c>
      <c r="D384" s="52" t="s">
        <v>809</v>
      </c>
      <c r="E384" s="52"/>
      <c r="F384" s="52"/>
      <c r="G384" s="40">
        <f>SUM(G385)</f>
        <v>5236.9</v>
      </c>
      <c r="H384" s="40">
        <f>SUM(H385)</f>
        <v>4975</v>
      </c>
      <c r="I384" s="40">
        <f>SUM(I385)</f>
        <v>4975</v>
      </c>
      <c r="J384" s="75"/>
      <c r="K384" s="68"/>
      <c r="L384" s="68"/>
      <c r="M384" s="69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</row>
    <row r="385" spans="1:29" ht="18" customHeight="1">
      <c r="A385" s="81" t="s">
        <v>29</v>
      </c>
      <c r="B385" s="51">
        <v>805</v>
      </c>
      <c r="C385" s="52" t="s">
        <v>492</v>
      </c>
      <c r="D385" s="52" t="s">
        <v>809</v>
      </c>
      <c r="E385" s="52" t="s">
        <v>30</v>
      </c>
      <c r="F385" s="52"/>
      <c r="G385" s="40">
        <f>G386+G389</f>
        <v>5236.9</v>
      </c>
      <c r="H385" s="40">
        <f>H386+H389</f>
        <v>4975</v>
      </c>
      <c r="I385" s="40">
        <f>I386+I389</f>
        <v>4975</v>
      </c>
      <c r="J385" s="75"/>
      <c r="K385" s="68"/>
      <c r="L385" s="68"/>
      <c r="M385" s="69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</row>
    <row r="386" spans="1:29" ht="18" customHeight="1">
      <c r="A386" s="81" t="s">
        <v>34</v>
      </c>
      <c r="B386" s="51">
        <v>805</v>
      </c>
      <c r="C386" s="52" t="s">
        <v>492</v>
      </c>
      <c r="D386" s="52" t="s">
        <v>809</v>
      </c>
      <c r="E386" s="52" t="s">
        <v>33</v>
      </c>
      <c r="F386" s="52"/>
      <c r="G386" s="40">
        <f aca="true" t="shared" si="41" ref="G386:I387">SUM(G387)</f>
        <v>1743.7</v>
      </c>
      <c r="H386" s="40">
        <f t="shared" si="41"/>
        <v>1656.5</v>
      </c>
      <c r="I386" s="40">
        <f t="shared" si="41"/>
        <v>1656.5</v>
      </c>
      <c r="J386" s="75"/>
      <c r="K386" s="68"/>
      <c r="L386" s="68"/>
      <c r="M386" s="69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</row>
    <row r="387" spans="1:29" ht="87.75" customHeight="1">
      <c r="A387" s="81" t="s">
        <v>608</v>
      </c>
      <c r="B387" s="51">
        <v>805</v>
      </c>
      <c r="C387" s="52" t="s">
        <v>492</v>
      </c>
      <c r="D387" s="52" t="s">
        <v>809</v>
      </c>
      <c r="E387" s="52" t="s">
        <v>35</v>
      </c>
      <c r="F387" s="52"/>
      <c r="G387" s="40">
        <f t="shared" si="41"/>
        <v>1743.7</v>
      </c>
      <c r="H387" s="40">
        <f t="shared" si="41"/>
        <v>1656.5</v>
      </c>
      <c r="I387" s="40">
        <f t="shared" si="41"/>
        <v>1656.5</v>
      </c>
      <c r="J387" s="75"/>
      <c r="K387" s="68"/>
      <c r="L387" s="68"/>
      <c r="M387" s="69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</row>
    <row r="388" spans="1:29" ht="18" customHeight="1">
      <c r="A388" s="85" t="s">
        <v>567</v>
      </c>
      <c r="B388" s="51">
        <v>805</v>
      </c>
      <c r="C388" s="52" t="s">
        <v>492</v>
      </c>
      <c r="D388" s="52" t="s">
        <v>809</v>
      </c>
      <c r="E388" s="52" t="s">
        <v>35</v>
      </c>
      <c r="F388" s="52" t="s">
        <v>68</v>
      </c>
      <c r="G388" s="40">
        <v>1743.7</v>
      </c>
      <c r="H388" s="40">
        <v>1656.5</v>
      </c>
      <c r="I388" s="40">
        <v>1656.5</v>
      </c>
      <c r="J388" s="75"/>
      <c r="K388" s="68"/>
      <c r="L388" s="68"/>
      <c r="M388" s="69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</row>
    <row r="389" spans="1:29" ht="102.75" customHeight="1">
      <c r="A389" s="85" t="s">
        <v>612</v>
      </c>
      <c r="B389" s="51">
        <v>805</v>
      </c>
      <c r="C389" s="52" t="s">
        <v>492</v>
      </c>
      <c r="D389" s="52" t="s">
        <v>809</v>
      </c>
      <c r="E389" s="52" t="s">
        <v>482</v>
      </c>
      <c r="F389" s="52"/>
      <c r="G389" s="40">
        <f>G390</f>
        <v>3493.2</v>
      </c>
      <c r="H389" s="40">
        <f>H390</f>
        <v>3318.5</v>
      </c>
      <c r="I389" s="40">
        <f>I390</f>
        <v>3318.5</v>
      </c>
      <c r="J389" s="75"/>
      <c r="K389" s="68"/>
      <c r="L389" s="68"/>
      <c r="M389" s="69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</row>
    <row r="390" spans="1:29" ht="18" customHeight="1">
      <c r="A390" s="85" t="s">
        <v>567</v>
      </c>
      <c r="B390" s="51">
        <v>805</v>
      </c>
      <c r="C390" s="52" t="s">
        <v>266</v>
      </c>
      <c r="D390" s="52" t="s">
        <v>809</v>
      </c>
      <c r="E390" s="52" t="s">
        <v>482</v>
      </c>
      <c r="F390" s="52" t="s">
        <v>68</v>
      </c>
      <c r="G390" s="40">
        <f>3493.2</f>
        <v>3493.2</v>
      </c>
      <c r="H390" s="40">
        <v>3318.5</v>
      </c>
      <c r="I390" s="40">
        <v>3318.5</v>
      </c>
      <c r="J390" s="75"/>
      <c r="K390" s="68"/>
      <c r="L390" s="68"/>
      <c r="M390" s="69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</row>
    <row r="391" spans="1:29" ht="18.75" customHeight="1">
      <c r="A391" s="85" t="s">
        <v>302</v>
      </c>
      <c r="B391" s="51">
        <v>805</v>
      </c>
      <c r="C391" s="52" t="s">
        <v>492</v>
      </c>
      <c r="D391" s="52" t="s">
        <v>810</v>
      </c>
      <c r="E391" s="52"/>
      <c r="F391" s="52"/>
      <c r="G391" s="40">
        <f>G392</f>
        <v>79701.9</v>
      </c>
      <c r="H391" s="40">
        <f>H392</f>
        <v>75716.8</v>
      </c>
      <c r="I391" s="40">
        <f>I392</f>
        <v>75716.8</v>
      </c>
      <c r="J391" s="75"/>
      <c r="K391" s="68"/>
      <c r="L391" s="68"/>
      <c r="M391" s="69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</row>
    <row r="392" spans="1:29" s="89" customFormat="1" ht="19.5" customHeight="1">
      <c r="A392" s="50" t="s">
        <v>119</v>
      </c>
      <c r="B392" s="51">
        <v>805</v>
      </c>
      <c r="C392" s="52" t="s">
        <v>492</v>
      </c>
      <c r="D392" s="52" t="s">
        <v>810</v>
      </c>
      <c r="E392" s="52" t="s">
        <v>461</v>
      </c>
      <c r="F392" s="52"/>
      <c r="G392" s="40">
        <f>G393+G395</f>
        <v>79701.9</v>
      </c>
      <c r="H392" s="40">
        <f>H393+H395</f>
        <v>75716.8</v>
      </c>
      <c r="I392" s="40">
        <f>I393+I395</f>
        <v>75716.8</v>
      </c>
      <c r="J392" s="75"/>
      <c r="K392" s="68"/>
      <c r="L392" s="68"/>
      <c r="M392" s="69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</row>
    <row r="393" spans="1:29" s="90" customFormat="1" ht="54" customHeight="1">
      <c r="A393" s="50" t="s">
        <v>336</v>
      </c>
      <c r="B393" s="51">
        <v>805</v>
      </c>
      <c r="C393" s="52" t="s">
        <v>492</v>
      </c>
      <c r="D393" s="52" t="s">
        <v>810</v>
      </c>
      <c r="E393" s="52" t="s">
        <v>303</v>
      </c>
      <c r="F393" s="52"/>
      <c r="G393" s="40">
        <f>SUM(G394)</f>
        <v>43799.9</v>
      </c>
      <c r="H393" s="40">
        <f>SUM(H394)</f>
        <v>41609.9</v>
      </c>
      <c r="I393" s="40">
        <f>SUM(I394)</f>
        <v>41609.9</v>
      </c>
      <c r="J393" s="75"/>
      <c r="K393" s="68"/>
      <c r="L393" s="68"/>
      <c r="M393" s="69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</row>
    <row r="394" spans="1:29" s="89" customFormat="1" ht="18" customHeight="1">
      <c r="A394" s="85" t="s">
        <v>567</v>
      </c>
      <c r="B394" s="51">
        <v>805</v>
      </c>
      <c r="C394" s="52" t="s">
        <v>492</v>
      </c>
      <c r="D394" s="52" t="s">
        <v>810</v>
      </c>
      <c r="E394" s="52" t="s">
        <v>303</v>
      </c>
      <c r="F394" s="52" t="s">
        <v>68</v>
      </c>
      <c r="G394" s="40">
        <v>43799.9</v>
      </c>
      <c r="H394" s="40">
        <v>41609.9</v>
      </c>
      <c r="I394" s="40">
        <v>41609.9</v>
      </c>
      <c r="J394" s="75"/>
      <c r="K394" s="68"/>
      <c r="L394" s="68"/>
      <c r="M394" s="69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</row>
    <row r="395" spans="1:13" s="68" customFormat="1" ht="38.25" customHeight="1">
      <c r="A395" s="85" t="s">
        <v>337</v>
      </c>
      <c r="B395" s="51">
        <v>805</v>
      </c>
      <c r="C395" s="52" t="s">
        <v>492</v>
      </c>
      <c r="D395" s="52" t="s">
        <v>810</v>
      </c>
      <c r="E395" s="52" t="s">
        <v>173</v>
      </c>
      <c r="F395" s="52"/>
      <c r="G395" s="40">
        <f>G396</f>
        <v>35902</v>
      </c>
      <c r="H395" s="40">
        <f>H396</f>
        <v>34106.9</v>
      </c>
      <c r="I395" s="40">
        <f>I396</f>
        <v>34106.9</v>
      </c>
      <c r="J395" s="75"/>
      <c r="M395" s="69"/>
    </row>
    <row r="396" spans="1:13" s="68" customFormat="1" ht="18" customHeight="1">
      <c r="A396" s="85" t="s">
        <v>567</v>
      </c>
      <c r="B396" s="51">
        <v>805</v>
      </c>
      <c r="C396" s="52" t="s">
        <v>492</v>
      </c>
      <c r="D396" s="52" t="s">
        <v>810</v>
      </c>
      <c r="E396" s="52" t="s">
        <v>173</v>
      </c>
      <c r="F396" s="52" t="s">
        <v>68</v>
      </c>
      <c r="G396" s="40">
        <v>35902</v>
      </c>
      <c r="H396" s="40">
        <v>34106.9</v>
      </c>
      <c r="I396" s="40">
        <v>34106.9</v>
      </c>
      <c r="J396" s="75"/>
      <c r="M396" s="69"/>
    </row>
    <row r="397" spans="1:29" ht="16.5" hidden="1">
      <c r="A397" s="85" t="s">
        <v>493</v>
      </c>
      <c r="B397" s="51">
        <v>805</v>
      </c>
      <c r="C397" s="52" t="s">
        <v>492</v>
      </c>
      <c r="D397" s="52" t="s">
        <v>811</v>
      </c>
      <c r="E397" s="52"/>
      <c r="F397" s="52"/>
      <c r="G397" s="40">
        <f aca="true" t="shared" si="42" ref="G397:I400">G398</f>
        <v>180</v>
      </c>
      <c r="H397" s="40">
        <f t="shared" si="42"/>
        <v>0</v>
      </c>
      <c r="I397" s="40">
        <f t="shared" si="42"/>
        <v>0</v>
      </c>
      <c r="J397" s="75"/>
      <c r="K397" s="68"/>
      <c r="L397" s="68"/>
      <c r="M397" s="69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</row>
    <row r="398" spans="1:29" ht="16.5" hidden="1">
      <c r="A398" s="86" t="s">
        <v>366</v>
      </c>
      <c r="B398" s="51">
        <v>805</v>
      </c>
      <c r="C398" s="52" t="s">
        <v>492</v>
      </c>
      <c r="D398" s="52" t="s">
        <v>811</v>
      </c>
      <c r="E398" s="52" t="s">
        <v>358</v>
      </c>
      <c r="F398" s="52"/>
      <c r="G398" s="40">
        <f>G400</f>
        <v>180</v>
      </c>
      <c r="H398" s="40">
        <f>H400</f>
        <v>0</v>
      </c>
      <c r="I398" s="40">
        <f>I400</f>
        <v>0</v>
      </c>
      <c r="J398" s="75"/>
      <c r="K398" s="68"/>
      <c r="L398" s="68"/>
      <c r="M398" s="69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</row>
    <row r="399" spans="1:29" ht="16.5" hidden="1">
      <c r="A399" s="86" t="s">
        <v>362</v>
      </c>
      <c r="B399" s="51">
        <v>805</v>
      </c>
      <c r="C399" s="52" t="s">
        <v>492</v>
      </c>
      <c r="D399" s="52" t="s">
        <v>811</v>
      </c>
      <c r="E399" s="52" t="s">
        <v>359</v>
      </c>
      <c r="F399" s="52"/>
      <c r="G399" s="40">
        <f>G400</f>
        <v>180</v>
      </c>
      <c r="H399" s="40">
        <f>H400</f>
        <v>0</v>
      </c>
      <c r="I399" s="40">
        <f>I400</f>
        <v>0</v>
      </c>
      <c r="J399" s="75"/>
      <c r="K399" s="68"/>
      <c r="L399" s="68"/>
      <c r="M399" s="69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</row>
    <row r="400" spans="1:29" ht="16.5" hidden="1">
      <c r="A400" s="82" t="s">
        <v>367</v>
      </c>
      <c r="B400" s="51">
        <v>805</v>
      </c>
      <c r="C400" s="52" t="s">
        <v>492</v>
      </c>
      <c r="D400" s="52" t="s">
        <v>811</v>
      </c>
      <c r="E400" s="52" t="s">
        <v>368</v>
      </c>
      <c r="F400" s="52"/>
      <c r="G400" s="40">
        <f t="shared" si="42"/>
        <v>180</v>
      </c>
      <c r="H400" s="40">
        <f t="shared" si="42"/>
        <v>0</v>
      </c>
      <c r="I400" s="40">
        <f t="shared" si="42"/>
        <v>0</v>
      </c>
      <c r="J400" s="75"/>
      <c r="K400" s="68"/>
      <c r="L400" s="68"/>
      <c r="M400" s="69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</row>
    <row r="401" spans="1:29" ht="16.5" hidden="1">
      <c r="A401" s="82" t="s">
        <v>524</v>
      </c>
      <c r="B401" s="51">
        <v>805</v>
      </c>
      <c r="C401" s="52" t="s">
        <v>492</v>
      </c>
      <c r="D401" s="52" t="s">
        <v>811</v>
      </c>
      <c r="E401" s="52" t="s">
        <v>368</v>
      </c>
      <c r="F401" s="52" t="s">
        <v>55</v>
      </c>
      <c r="G401" s="40">
        <v>180</v>
      </c>
      <c r="H401" s="40"/>
      <c r="I401" s="40"/>
      <c r="J401" s="75"/>
      <c r="K401" s="68"/>
      <c r="L401" s="68"/>
      <c r="M401" s="69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</row>
    <row r="402" spans="1:29" ht="18" customHeight="1">
      <c r="A402" s="63" t="s">
        <v>105</v>
      </c>
      <c r="B402" s="51">
        <v>806</v>
      </c>
      <c r="C402" s="52"/>
      <c r="D402" s="52"/>
      <c r="E402" s="52"/>
      <c r="F402" s="52"/>
      <c r="G402" s="40">
        <f>SUM(G418,)</f>
        <v>361990.2</v>
      </c>
      <c r="H402" s="40">
        <f>SUM(H418,)</f>
        <v>294968.7</v>
      </c>
      <c r="I402" s="40">
        <f>SUM(I418,)</f>
        <v>283669.2</v>
      </c>
      <c r="J402" s="75"/>
      <c r="K402" s="97"/>
      <c r="L402" s="68"/>
      <c r="M402" s="69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</row>
    <row r="403" spans="1:29" ht="18" customHeight="1" hidden="1">
      <c r="A403" s="63" t="s">
        <v>432</v>
      </c>
      <c r="B403" s="51">
        <v>806</v>
      </c>
      <c r="C403" s="52" t="s">
        <v>810</v>
      </c>
      <c r="D403" s="52"/>
      <c r="E403" s="52"/>
      <c r="F403" s="52"/>
      <c r="G403" s="40">
        <f>G404</f>
        <v>0</v>
      </c>
      <c r="H403" s="40">
        <f>H404</f>
        <v>0</v>
      </c>
      <c r="I403" s="40">
        <f>I404</f>
        <v>0</v>
      </c>
      <c r="J403" s="75"/>
      <c r="K403" s="97"/>
      <c r="L403" s="68"/>
      <c r="M403" s="69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</row>
    <row r="404" spans="1:29" ht="18" customHeight="1" hidden="1">
      <c r="A404" s="82" t="s">
        <v>773</v>
      </c>
      <c r="B404" s="51">
        <v>806</v>
      </c>
      <c r="C404" s="52" t="s">
        <v>810</v>
      </c>
      <c r="D404" s="52" t="s">
        <v>807</v>
      </c>
      <c r="E404" s="52"/>
      <c r="F404" s="52"/>
      <c r="G404" s="40">
        <f>G405+G410</f>
        <v>0</v>
      </c>
      <c r="H404" s="40">
        <f>H405+H410</f>
        <v>0</v>
      </c>
      <c r="I404" s="40">
        <f>I405+I410</f>
        <v>0</v>
      </c>
      <c r="J404" s="75"/>
      <c r="K404" s="97"/>
      <c r="L404" s="68"/>
      <c r="M404" s="69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</row>
    <row r="405" spans="1:29" ht="18" customHeight="1" hidden="1">
      <c r="A405" s="82" t="s">
        <v>775</v>
      </c>
      <c r="B405" s="51">
        <v>806</v>
      </c>
      <c r="C405" s="52" t="s">
        <v>810</v>
      </c>
      <c r="D405" s="52" t="s">
        <v>807</v>
      </c>
      <c r="E405" s="52" t="s">
        <v>774</v>
      </c>
      <c r="F405" s="52"/>
      <c r="G405" s="40">
        <f>G406+G408</f>
        <v>0</v>
      </c>
      <c r="H405" s="40">
        <f>H406+H408</f>
        <v>0</v>
      </c>
      <c r="I405" s="40">
        <f>I406+I408</f>
        <v>0</v>
      </c>
      <c r="J405" s="75"/>
      <c r="K405" s="97"/>
      <c r="L405" s="68"/>
      <c r="M405" s="69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</row>
    <row r="406" spans="1:29" ht="18" customHeight="1" hidden="1">
      <c r="A406" s="82" t="s">
        <v>777</v>
      </c>
      <c r="B406" s="51">
        <v>806</v>
      </c>
      <c r="C406" s="52" t="s">
        <v>810</v>
      </c>
      <c r="D406" s="52" t="s">
        <v>807</v>
      </c>
      <c r="E406" s="52" t="s">
        <v>776</v>
      </c>
      <c r="F406" s="52"/>
      <c r="G406" s="40">
        <f>G407</f>
        <v>0</v>
      </c>
      <c r="H406" s="40">
        <f>H407</f>
        <v>0</v>
      </c>
      <c r="I406" s="40">
        <f>I407</f>
        <v>0</v>
      </c>
      <c r="J406" s="75"/>
      <c r="K406" s="97"/>
      <c r="L406" s="68"/>
      <c r="M406" s="69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</row>
    <row r="407" spans="1:29" ht="18" customHeight="1" hidden="1">
      <c r="A407" s="81" t="s">
        <v>13</v>
      </c>
      <c r="B407" s="51">
        <v>806</v>
      </c>
      <c r="C407" s="52" t="s">
        <v>810</v>
      </c>
      <c r="D407" s="52" t="s">
        <v>807</v>
      </c>
      <c r="E407" s="52" t="s">
        <v>776</v>
      </c>
      <c r="F407" s="52" t="s">
        <v>572</v>
      </c>
      <c r="G407" s="40"/>
      <c r="H407" s="40"/>
      <c r="I407" s="40"/>
      <c r="J407" s="75"/>
      <c r="K407" s="97"/>
      <c r="L407" s="68"/>
      <c r="M407" s="69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</row>
    <row r="408" spans="1:29" ht="35.25" customHeight="1" hidden="1">
      <c r="A408" s="81" t="s">
        <v>600</v>
      </c>
      <c r="B408" s="51">
        <v>806</v>
      </c>
      <c r="C408" s="52" t="s">
        <v>810</v>
      </c>
      <c r="D408" s="52" t="s">
        <v>807</v>
      </c>
      <c r="E408" s="52" t="s">
        <v>596</v>
      </c>
      <c r="F408" s="52"/>
      <c r="G408" s="40">
        <f>SUM(G409)</f>
        <v>0</v>
      </c>
      <c r="H408" s="40">
        <f>SUM(H409)</f>
        <v>0</v>
      </c>
      <c r="I408" s="40">
        <f>SUM(I409)</f>
        <v>0</v>
      </c>
      <c r="J408" s="75"/>
      <c r="K408" s="97"/>
      <c r="L408" s="68"/>
      <c r="M408" s="69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</row>
    <row r="409" spans="1:29" ht="18" customHeight="1" hidden="1">
      <c r="A409" s="81" t="s">
        <v>13</v>
      </c>
      <c r="B409" s="51">
        <v>806</v>
      </c>
      <c r="C409" s="52" t="s">
        <v>810</v>
      </c>
      <c r="D409" s="52" t="s">
        <v>807</v>
      </c>
      <c r="E409" s="52" t="s">
        <v>596</v>
      </c>
      <c r="F409" s="52" t="s">
        <v>572</v>
      </c>
      <c r="G409" s="40"/>
      <c r="H409" s="40"/>
      <c r="I409" s="40"/>
      <c r="J409" s="75"/>
      <c r="K409" s="97"/>
      <c r="L409" s="68"/>
      <c r="M409" s="69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</row>
    <row r="410" spans="1:29" ht="18" customHeight="1" hidden="1">
      <c r="A410" s="81" t="s">
        <v>297</v>
      </c>
      <c r="B410" s="51">
        <v>806</v>
      </c>
      <c r="C410" s="52" t="s">
        <v>810</v>
      </c>
      <c r="D410" s="52" t="s">
        <v>807</v>
      </c>
      <c r="E410" s="52" t="s">
        <v>395</v>
      </c>
      <c r="F410" s="52"/>
      <c r="G410" s="40">
        <f aca="true" t="shared" si="43" ref="G410:I411">SUM(G411)</f>
        <v>0</v>
      </c>
      <c r="H410" s="40">
        <f t="shared" si="43"/>
        <v>0</v>
      </c>
      <c r="I410" s="40">
        <f t="shared" si="43"/>
        <v>0</v>
      </c>
      <c r="J410" s="75"/>
      <c r="K410" s="97"/>
      <c r="L410" s="68"/>
      <c r="M410" s="69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</row>
    <row r="411" spans="1:29" ht="36" customHeight="1" hidden="1">
      <c r="A411" s="81" t="s">
        <v>598</v>
      </c>
      <c r="B411" s="51">
        <v>806</v>
      </c>
      <c r="C411" s="52" t="s">
        <v>810</v>
      </c>
      <c r="D411" s="52" t="s">
        <v>807</v>
      </c>
      <c r="E411" s="52" t="s">
        <v>601</v>
      </c>
      <c r="F411" s="52"/>
      <c r="G411" s="40">
        <f t="shared" si="43"/>
        <v>0</v>
      </c>
      <c r="H411" s="40">
        <f t="shared" si="43"/>
        <v>0</v>
      </c>
      <c r="I411" s="40">
        <f t="shared" si="43"/>
        <v>0</v>
      </c>
      <c r="J411" s="75"/>
      <c r="K411" s="97"/>
      <c r="L411" s="68"/>
      <c r="M411" s="69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</row>
    <row r="412" spans="1:29" ht="18" customHeight="1" hidden="1">
      <c r="A412" s="81" t="s">
        <v>13</v>
      </c>
      <c r="B412" s="51">
        <v>806</v>
      </c>
      <c r="C412" s="52" t="s">
        <v>810</v>
      </c>
      <c r="D412" s="52" t="s">
        <v>807</v>
      </c>
      <c r="E412" s="52" t="s">
        <v>601</v>
      </c>
      <c r="F412" s="52" t="s">
        <v>572</v>
      </c>
      <c r="G412" s="40"/>
      <c r="H412" s="40"/>
      <c r="I412" s="40"/>
      <c r="J412" s="75"/>
      <c r="K412" s="97"/>
      <c r="L412" s="68"/>
      <c r="M412" s="69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</row>
    <row r="413" spans="1:29" ht="18" customHeight="1" hidden="1">
      <c r="A413" s="85" t="s">
        <v>378</v>
      </c>
      <c r="B413" s="51">
        <v>806</v>
      </c>
      <c r="C413" s="52" t="s">
        <v>529</v>
      </c>
      <c r="D413" s="52"/>
      <c r="E413" s="52"/>
      <c r="F413" s="52"/>
      <c r="G413" s="40">
        <f>G414</f>
        <v>0</v>
      </c>
      <c r="H413" s="40">
        <f aca="true" t="shared" si="44" ref="H413:I416">H414</f>
        <v>0</v>
      </c>
      <c r="I413" s="40">
        <f t="shared" si="44"/>
        <v>0</v>
      </c>
      <c r="J413" s="75"/>
      <c r="K413" s="97"/>
      <c r="L413" s="68"/>
      <c r="M413" s="69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</row>
    <row r="414" spans="1:29" ht="18" customHeight="1" hidden="1">
      <c r="A414" s="85" t="s">
        <v>250</v>
      </c>
      <c r="B414" s="51">
        <v>806</v>
      </c>
      <c r="C414" s="52" t="s">
        <v>529</v>
      </c>
      <c r="D414" s="52" t="s">
        <v>529</v>
      </c>
      <c r="E414" s="52"/>
      <c r="F414" s="52"/>
      <c r="G414" s="40">
        <f>G415</f>
        <v>0</v>
      </c>
      <c r="H414" s="40">
        <f t="shared" si="44"/>
        <v>0</v>
      </c>
      <c r="I414" s="40">
        <f t="shared" si="44"/>
        <v>0</v>
      </c>
      <c r="J414" s="75"/>
      <c r="K414" s="97"/>
      <c r="L414" s="68"/>
      <c r="M414" s="69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</row>
    <row r="415" spans="1:29" ht="18" customHeight="1" hidden="1">
      <c r="A415" s="81" t="s">
        <v>226</v>
      </c>
      <c r="B415" s="51">
        <v>806</v>
      </c>
      <c r="C415" s="52" t="s">
        <v>529</v>
      </c>
      <c r="D415" s="52" t="s">
        <v>529</v>
      </c>
      <c r="E415" s="52" t="s">
        <v>494</v>
      </c>
      <c r="F415" s="52"/>
      <c r="G415" s="40">
        <f>G416</f>
        <v>0</v>
      </c>
      <c r="H415" s="40">
        <f t="shared" si="44"/>
        <v>0</v>
      </c>
      <c r="I415" s="40">
        <f t="shared" si="44"/>
        <v>0</v>
      </c>
      <c r="J415" s="75"/>
      <c r="K415" s="97"/>
      <c r="L415" s="68"/>
      <c r="M415" s="69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</row>
    <row r="416" spans="1:29" ht="18" customHeight="1" hidden="1">
      <c r="A416" s="86" t="s">
        <v>323</v>
      </c>
      <c r="B416" s="51">
        <v>806</v>
      </c>
      <c r="C416" s="52" t="s">
        <v>529</v>
      </c>
      <c r="D416" s="52" t="s">
        <v>529</v>
      </c>
      <c r="E416" s="52" t="s">
        <v>537</v>
      </c>
      <c r="F416" s="52"/>
      <c r="G416" s="40">
        <f>G417</f>
        <v>0</v>
      </c>
      <c r="H416" s="40">
        <f t="shared" si="44"/>
        <v>0</v>
      </c>
      <c r="I416" s="40">
        <f t="shared" si="44"/>
        <v>0</v>
      </c>
      <c r="J416" s="75"/>
      <c r="K416" s="97"/>
      <c r="L416" s="68"/>
      <c r="M416" s="69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</row>
    <row r="417" spans="1:29" ht="18" customHeight="1" hidden="1">
      <c r="A417" s="85" t="s">
        <v>560</v>
      </c>
      <c r="B417" s="51">
        <v>806</v>
      </c>
      <c r="C417" s="52" t="s">
        <v>529</v>
      </c>
      <c r="D417" s="52" t="s">
        <v>529</v>
      </c>
      <c r="E417" s="52" t="s">
        <v>537</v>
      </c>
      <c r="F417" s="52" t="s">
        <v>559</v>
      </c>
      <c r="G417" s="40"/>
      <c r="H417" s="40"/>
      <c r="I417" s="40"/>
      <c r="J417" s="75"/>
      <c r="K417" s="97"/>
      <c r="L417" s="68"/>
      <c r="M417" s="69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</row>
    <row r="418" spans="1:29" ht="18.75" customHeight="1">
      <c r="A418" s="85" t="s">
        <v>232</v>
      </c>
      <c r="B418" s="51">
        <v>806</v>
      </c>
      <c r="C418" s="52" t="s">
        <v>57</v>
      </c>
      <c r="D418" s="52"/>
      <c r="E418" s="52"/>
      <c r="F418" s="52"/>
      <c r="G418" s="40">
        <f>SUM(G419,G430,G444,G455,G464,G470)</f>
        <v>361990.2</v>
      </c>
      <c r="H418" s="40">
        <f>SUM(H419,H430,H444,H455,H464,H470)</f>
        <v>294968.7</v>
      </c>
      <c r="I418" s="40">
        <f>SUM(I419,I430,I444,I455,I464,I470)</f>
        <v>283669.2</v>
      </c>
      <c r="J418" s="75"/>
      <c r="K418" s="97"/>
      <c r="L418" s="68"/>
      <c r="M418" s="69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</row>
    <row r="419" spans="1:29" ht="18.75" customHeight="1">
      <c r="A419" s="85" t="s">
        <v>570</v>
      </c>
      <c r="B419" s="51">
        <v>806</v>
      </c>
      <c r="C419" s="52" t="s">
        <v>57</v>
      </c>
      <c r="D419" s="52" t="s">
        <v>807</v>
      </c>
      <c r="E419" s="52"/>
      <c r="F419" s="52"/>
      <c r="G419" s="40">
        <f>SUM(G420,G425)</f>
        <v>147065.7</v>
      </c>
      <c r="H419" s="40">
        <f>SUM(H420,H425)</f>
        <v>81762.2</v>
      </c>
      <c r="I419" s="40">
        <f>SUM(I420,I425)</f>
        <v>87590.7</v>
      </c>
      <c r="J419" s="75"/>
      <c r="K419" s="97"/>
      <c r="L419" s="68"/>
      <c r="M419" s="69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</row>
    <row r="420" spans="1:29" ht="18" customHeight="1">
      <c r="A420" s="50" t="s">
        <v>314</v>
      </c>
      <c r="B420" s="51">
        <v>806</v>
      </c>
      <c r="C420" s="52" t="s">
        <v>57</v>
      </c>
      <c r="D420" s="52" t="s">
        <v>807</v>
      </c>
      <c r="E420" s="52" t="s">
        <v>139</v>
      </c>
      <c r="F420" s="52"/>
      <c r="G420" s="40">
        <f>SUM(G421,G423)</f>
        <v>137899.1</v>
      </c>
      <c r="H420" s="40">
        <f>SUM(H421,H423)</f>
        <v>76052</v>
      </c>
      <c r="I420" s="40">
        <f>SUM(I421,I423)</f>
        <v>81438.3</v>
      </c>
      <c r="J420" s="75"/>
      <c r="K420" s="97"/>
      <c r="L420" s="68"/>
      <c r="M420" s="69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</row>
    <row r="421" spans="1:29" ht="18" customHeight="1">
      <c r="A421" s="85" t="s">
        <v>496</v>
      </c>
      <c r="B421" s="51">
        <v>806</v>
      </c>
      <c r="C421" s="52" t="s">
        <v>57</v>
      </c>
      <c r="D421" s="52" t="s">
        <v>807</v>
      </c>
      <c r="E421" s="52" t="s">
        <v>501</v>
      </c>
      <c r="F421" s="52"/>
      <c r="G421" s="40">
        <f>SUM(G422)</f>
        <v>3471.5</v>
      </c>
      <c r="H421" s="40">
        <f>SUM(H422)</f>
        <v>3471.5</v>
      </c>
      <c r="I421" s="40">
        <f>SUM(I422)</f>
        <v>3471.5</v>
      </c>
      <c r="J421" s="75"/>
      <c r="K421" s="97"/>
      <c r="L421" s="68"/>
      <c r="M421" s="69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</row>
    <row r="422" spans="1:29" ht="17.25" customHeight="1">
      <c r="A422" s="81" t="s">
        <v>13</v>
      </c>
      <c r="B422" s="51">
        <v>806</v>
      </c>
      <c r="C422" s="52" t="s">
        <v>57</v>
      </c>
      <c r="D422" s="52" t="s">
        <v>807</v>
      </c>
      <c r="E422" s="52" t="s">
        <v>501</v>
      </c>
      <c r="F422" s="52" t="s">
        <v>572</v>
      </c>
      <c r="G422" s="40">
        <v>3471.5</v>
      </c>
      <c r="H422" s="40">
        <v>3471.5</v>
      </c>
      <c r="I422" s="40">
        <v>3471.5</v>
      </c>
      <c r="J422" s="75"/>
      <c r="K422" s="97"/>
      <c r="L422" s="68"/>
      <c r="M422" s="69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</row>
    <row r="423" spans="1:29" ht="18" customHeight="1">
      <c r="A423" s="85" t="s">
        <v>403</v>
      </c>
      <c r="B423" s="51">
        <v>806</v>
      </c>
      <c r="C423" s="52" t="s">
        <v>57</v>
      </c>
      <c r="D423" s="52" t="s">
        <v>807</v>
      </c>
      <c r="E423" s="52" t="s">
        <v>140</v>
      </c>
      <c r="F423" s="52"/>
      <c r="G423" s="40">
        <f>SUM(G424)</f>
        <v>134427.6</v>
      </c>
      <c r="H423" s="40">
        <f>SUM(H424)</f>
        <v>72580.5</v>
      </c>
      <c r="I423" s="40">
        <f>SUM(I424)</f>
        <v>77966.8</v>
      </c>
      <c r="J423" s="75"/>
      <c r="K423" s="97"/>
      <c r="L423" s="68"/>
      <c r="M423" s="69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</row>
    <row r="424" spans="1:29" ht="18.75" customHeight="1">
      <c r="A424" s="81" t="s">
        <v>13</v>
      </c>
      <c r="B424" s="51">
        <v>806</v>
      </c>
      <c r="C424" s="52" t="s">
        <v>57</v>
      </c>
      <c r="D424" s="52" t="s">
        <v>807</v>
      </c>
      <c r="E424" s="52" t="s">
        <v>140</v>
      </c>
      <c r="F424" s="52" t="s">
        <v>572</v>
      </c>
      <c r="G424" s="40">
        <v>134427.6</v>
      </c>
      <c r="H424" s="40">
        <v>72580.5</v>
      </c>
      <c r="I424" s="40">
        <v>77966.8</v>
      </c>
      <c r="J424" s="75"/>
      <c r="K424" s="68"/>
      <c r="L424" s="68"/>
      <c r="M424" s="69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</row>
    <row r="425" spans="1:29" ht="16.5">
      <c r="A425" s="85" t="s">
        <v>562</v>
      </c>
      <c r="B425" s="51">
        <v>806</v>
      </c>
      <c r="C425" s="52" t="s">
        <v>57</v>
      </c>
      <c r="D425" s="52" t="s">
        <v>807</v>
      </c>
      <c r="E425" s="52" t="s">
        <v>141</v>
      </c>
      <c r="F425" s="52"/>
      <c r="G425" s="40">
        <f>SUM(G426,G428)</f>
        <v>9166.599999999999</v>
      </c>
      <c r="H425" s="40">
        <f>SUM(H426,H428)</f>
        <v>5710.2</v>
      </c>
      <c r="I425" s="40">
        <f>SUM(I426,I428)</f>
        <v>6152.400000000001</v>
      </c>
      <c r="J425" s="75"/>
      <c r="K425" s="68"/>
      <c r="L425" s="68"/>
      <c r="M425" s="69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</row>
    <row r="426" spans="1:29" ht="20.25" customHeight="1">
      <c r="A426" s="85" t="s">
        <v>496</v>
      </c>
      <c r="B426" s="51">
        <v>806</v>
      </c>
      <c r="C426" s="52" t="s">
        <v>57</v>
      </c>
      <c r="D426" s="52" t="s">
        <v>807</v>
      </c>
      <c r="E426" s="52" t="s">
        <v>814</v>
      </c>
      <c r="F426" s="52"/>
      <c r="G426" s="40">
        <f>SUM(G427)</f>
        <v>421.8</v>
      </c>
      <c r="H426" s="40">
        <f>SUM(H427)</f>
        <v>421.8</v>
      </c>
      <c r="I426" s="40">
        <f>SUM(I427)</f>
        <v>421.8</v>
      </c>
      <c r="J426" s="75"/>
      <c r="K426" s="68"/>
      <c r="L426" s="68"/>
      <c r="M426" s="69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</row>
    <row r="427" spans="1:29" ht="18.75" customHeight="1">
      <c r="A427" s="81" t="s">
        <v>13</v>
      </c>
      <c r="B427" s="51">
        <v>806</v>
      </c>
      <c r="C427" s="52" t="s">
        <v>57</v>
      </c>
      <c r="D427" s="52" t="s">
        <v>807</v>
      </c>
      <c r="E427" s="52" t="s">
        <v>814</v>
      </c>
      <c r="F427" s="52" t="s">
        <v>572</v>
      </c>
      <c r="G427" s="40">
        <v>421.8</v>
      </c>
      <c r="H427" s="40">
        <v>421.8</v>
      </c>
      <c r="I427" s="40">
        <v>421.8</v>
      </c>
      <c r="J427" s="75"/>
      <c r="K427" s="68"/>
      <c r="L427" s="68"/>
      <c r="M427" s="69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</row>
    <row r="428" spans="1:29" ht="20.25" customHeight="1">
      <c r="A428" s="85" t="s">
        <v>403</v>
      </c>
      <c r="B428" s="51">
        <v>806</v>
      </c>
      <c r="C428" s="52" t="s">
        <v>57</v>
      </c>
      <c r="D428" s="52" t="s">
        <v>807</v>
      </c>
      <c r="E428" s="52" t="s">
        <v>142</v>
      </c>
      <c r="F428" s="52"/>
      <c r="G428" s="40">
        <f>SUM(G429)</f>
        <v>8744.8</v>
      </c>
      <c r="H428" s="40">
        <f>SUM(H429)</f>
        <v>5288.4</v>
      </c>
      <c r="I428" s="40">
        <f>SUM(I429)</f>
        <v>5730.6</v>
      </c>
      <c r="J428" s="75"/>
      <c r="K428" s="68"/>
      <c r="L428" s="68"/>
      <c r="M428" s="69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</row>
    <row r="429" spans="1:29" ht="19.5" customHeight="1">
      <c r="A429" s="81" t="s">
        <v>13</v>
      </c>
      <c r="B429" s="51">
        <v>806</v>
      </c>
      <c r="C429" s="52" t="s">
        <v>57</v>
      </c>
      <c r="D429" s="52" t="s">
        <v>807</v>
      </c>
      <c r="E429" s="52" t="s">
        <v>142</v>
      </c>
      <c r="F429" s="52" t="s">
        <v>572</v>
      </c>
      <c r="G429" s="40">
        <v>8744.8</v>
      </c>
      <c r="H429" s="40">
        <v>5288.4</v>
      </c>
      <c r="I429" s="40">
        <v>5730.6</v>
      </c>
      <c r="J429" s="75"/>
      <c r="K429" s="68"/>
      <c r="L429" s="68"/>
      <c r="M429" s="69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</row>
    <row r="430" spans="1:29" ht="20.25" customHeight="1">
      <c r="A430" s="85" t="s">
        <v>272</v>
      </c>
      <c r="B430" s="51">
        <v>806</v>
      </c>
      <c r="C430" s="52" t="s">
        <v>57</v>
      </c>
      <c r="D430" s="52" t="s">
        <v>808</v>
      </c>
      <c r="E430" s="52"/>
      <c r="F430" s="52"/>
      <c r="G430" s="40">
        <f>SUM(G431,G436)</f>
        <v>46616.6</v>
      </c>
      <c r="H430" s="40">
        <f>SUM(H431,H436)</f>
        <v>43987.1</v>
      </c>
      <c r="I430" s="40">
        <f>SUM(I431,I436)</f>
        <v>46743.7</v>
      </c>
      <c r="J430" s="75"/>
      <c r="K430" s="68"/>
      <c r="L430" s="68"/>
      <c r="M430" s="69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</row>
    <row r="431" spans="1:29" ht="18" customHeight="1">
      <c r="A431" s="50" t="s">
        <v>314</v>
      </c>
      <c r="B431" s="51">
        <v>806</v>
      </c>
      <c r="C431" s="52" t="s">
        <v>57</v>
      </c>
      <c r="D431" s="52" t="s">
        <v>808</v>
      </c>
      <c r="E431" s="52" t="s">
        <v>139</v>
      </c>
      <c r="F431" s="52"/>
      <c r="G431" s="40">
        <f>SUM(G432,G434)</f>
        <v>14956.7</v>
      </c>
      <c r="H431" s="40">
        <f>SUM(H432,H434)</f>
        <v>15878.300000000001</v>
      </c>
      <c r="I431" s="40">
        <f>SUM(I432,I434)</f>
        <v>16876.9</v>
      </c>
      <c r="J431" s="75"/>
      <c r="K431" s="68"/>
      <c r="L431" s="68"/>
      <c r="M431" s="69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</row>
    <row r="432" spans="1:29" ht="18" customHeight="1">
      <c r="A432" s="85" t="s">
        <v>496</v>
      </c>
      <c r="B432" s="51">
        <v>806</v>
      </c>
      <c r="C432" s="52" t="s">
        <v>57</v>
      </c>
      <c r="D432" s="52" t="s">
        <v>808</v>
      </c>
      <c r="E432" s="52" t="s">
        <v>501</v>
      </c>
      <c r="F432" s="52"/>
      <c r="G432" s="40">
        <f>SUM(G433)</f>
        <v>401.7</v>
      </c>
      <c r="H432" s="40">
        <f>SUM(H433)</f>
        <v>401.7</v>
      </c>
      <c r="I432" s="40">
        <f>SUM(I433)</f>
        <v>401.7</v>
      </c>
      <c r="J432" s="75"/>
      <c r="K432" s="68"/>
      <c r="L432" s="68"/>
      <c r="M432" s="69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</row>
    <row r="433" spans="1:29" ht="18.75" customHeight="1">
      <c r="A433" s="81" t="s">
        <v>13</v>
      </c>
      <c r="B433" s="51">
        <v>806</v>
      </c>
      <c r="C433" s="52" t="s">
        <v>57</v>
      </c>
      <c r="D433" s="52" t="s">
        <v>808</v>
      </c>
      <c r="E433" s="52" t="s">
        <v>501</v>
      </c>
      <c r="F433" s="52" t="s">
        <v>572</v>
      </c>
      <c r="G433" s="40">
        <v>401.7</v>
      </c>
      <c r="H433" s="40">
        <v>401.7</v>
      </c>
      <c r="I433" s="40">
        <v>401.7</v>
      </c>
      <c r="J433" s="75"/>
      <c r="K433" s="68"/>
      <c r="L433" s="68"/>
      <c r="M433" s="69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</row>
    <row r="434" spans="1:29" ht="18.75" customHeight="1">
      <c r="A434" s="85" t="s">
        <v>403</v>
      </c>
      <c r="B434" s="51">
        <v>806</v>
      </c>
      <c r="C434" s="52" t="s">
        <v>57</v>
      </c>
      <c r="D434" s="52" t="s">
        <v>808</v>
      </c>
      <c r="E434" s="52" t="s">
        <v>140</v>
      </c>
      <c r="F434" s="52"/>
      <c r="G434" s="40">
        <f>SUM(G435)</f>
        <v>14555</v>
      </c>
      <c r="H434" s="40">
        <f>SUM(H435)</f>
        <v>15476.6</v>
      </c>
      <c r="I434" s="40">
        <f>SUM(I435)</f>
        <v>16475.2</v>
      </c>
      <c r="J434" s="75"/>
      <c r="K434" s="68"/>
      <c r="L434" s="68"/>
      <c r="M434" s="69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</row>
    <row r="435" spans="1:29" ht="19.5" customHeight="1">
      <c r="A435" s="81" t="s">
        <v>13</v>
      </c>
      <c r="B435" s="51">
        <v>806</v>
      </c>
      <c r="C435" s="52" t="s">
        <v>57</v>
      </c>
      <c r="D435" s="52" t="s">
        <v>808</v>
      </c>
      <c r="E435" s="52" t="s">
        <v>140</v>
      </c>
      <c r="F435" s="52" t="s">
        <v>572</v>
      </c>
      <c r="G435" s="40">
        <v>14555</v>
      </c>
      <c r="H435" s="40">
        <v>15476.6</v>
      </c>
      <c r="I435" s="40">
        <v>16475.2</v>
      </c>
      <c r="J435" s="75"/>
      <c r="K435" s="68"/>
      <c r="L435" s="68"/>
      <c r="M435" s="69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</row>
    <row r="436" spans="1:29" ht="19.5" customHeight="1">
      <c r="A436" s="85" t="s">
        <v>568</v>
      </c>
      <c r="B436" s="51">
        <v>806</v>
      </c>
      <c r="C436" s="52" t="s">
        <v>57</v>
      </c>
      <c r="D436" s="52" t="s">
        <v>808</v>
      </c>
      <c r="E436" s="52" t="s">
        <v>143</v>
      </c>
      <c r="F436" s="52"/>
      <c r="G436" s="40">
        <f>SUM(G437,G439)</f>
        <v>31659.899999999998</v>
      </c>
      <c r="H436" s="40">
        <f>SUM(H437,H439)</f>
        <v>28108.8</v>
      </c>
      <c r="I436" s="40">
        <f>SUM(I437,I439)</f>
        <v>29866.8</v>
      </c>
      <c r="J436" s="75"/>
      <c r="K436" s="68"/>
      <c r="L436" s="68"/>
      <c r="M436" s="69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</row>
    <row r="437" spans="1:29" ht="18" customHeight="1">
      <c r="A437" s="85" t="s">
        <v>496</v>
      </c>
      <c r="B437" s="51">
        <v>806</v>
      </c>
      <c r="C437" s="52" t="s">
        <v>57</v>
      </c>
      <c r="D437" s="52" t="s">
        <v>808</v>
      </c>
      <c r="E437" s="52" t="s">
        <v>502</v>
      </c>
      <c r="F437" s="52"/>
      <c r="G437" s="40">
        <f>SUM(G438)</f>
        <v>826.6</v>
      </c>
      <c r="H437" s="40">
        <f>SUM(H438)</f>
        <v>826.6</v>
      </c>
      <c r="I437" s="40">
        <f>SUM(I438)</f>
        <v>826.6</v>
      </c>
      <c r="J437" s="75"/>
      <c r="K437" s="68"/>
      <c r="L437" s="68"/>
      <c r="M437" s="69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</row>
    <row r="438" spans="1:29" ht="20.25" customHeight="1">
      <c r="A438" s="81" t="s">
        <v>13</v>
      </c>
      <c r="B438" s="51">
        <v>806</v>
      </c>
      <c r="C438" s="52" t="s">
        <v>57</v>
      </c>
      <c r="D438" s="52" t="s">
        <v>808</v>
      </c>
      <c r="E438" s="52" t="s">
        <v>502</v>
      </c>
      <c r="F438" s="52" t="s">
        <v>572</v>
      </c>
      <c r="G438" s="40">
        <v>826.6</v>
      </c>
      <c r="H438" s="40">
        <v>826.6</v>
      </c>
      <c r="I438" s="40">
        <v>826.6</v>
      </c>
      <c r="J438" s="75"/>
      <c r="K438" s="68"/>
      <c r="L438" s="68"/>
      <c r="M438" s="69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</row>
    <row r="439" spans="1:29" ht="20.25" customHeight="1">
      <c r="A439" s="85" t="s">
        <v>403</v>
      </c>
      <c r="B439" s="51">
        <v>806</v>
      </c>
      <c r="C439" s="52" t="s">
        <v>57</v>
      </c>
      <c r="D439" s="52" t="s">
        <v>808</v>
      </c>
      <c r="E439" s="52" t="s">
        <v>144</v>
      </c>
      <c r="F439" s="52"/>
      <c r="G439" s="40">
        <f>SUM(G440)</f>
        <v>30833.3</v>
      </c>
      <c r="H439" s="40">
        <f>SUM(H440)</f>
        <v>27282.2</v>
      </c>
      <c r="I439" s="40">
        <f>SUM(I440)</f>
        <v>29040.2</v>
      </c>
      <c r="J439" s="75"/>
      <c r="K439" s="68"/>
      <c r="L439" s="68"/>
      <c r="M439" s="69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</row>
    <row r="440" spans="1:29" ht="19.5" customHeight="1">
      <c r="A440" s="81" t="s">
        <v>13</v>
      </c>
      <c r="B440" s="51">
        <v>806</v>
      </c>
      <c r="C440" s="52" t="s">
        <v>57</v>
      </c>
      <c r="D440" s="52" t="s">
        <v>808</v>
      </c>
      <c r="E440" s="52" t="s">
        <v>144</v>
      </c>
      <c r="F440" s="52" t="s">
        <v>572</v>
      </c>
      <c r="G440" s="40">
        <v>30833.3</v>
      </c>
      <c r="H440" s="40">
        <v>27282.2</v>
      </c>
      <c r="I440" s="40">
        <v>29040.2</v>
      </c>
      <c r="J440" s="75"/>
      <c r="K440" s="68"/>
      <c r="L440" s="68"/>
      <c r="M440" s="69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</row>
    <row r="441" spans="1:29" ht="19.5" customHeight="1" hidden="1">
      <c r="A441" s="50" t="s">
        <v>119</v>
      </c>
      <c r="B441" s="51">
        <v>806</v>
      </c>
      <c r="C441" s="52" t="s">
        <v>57</v>
      </c>
      <c r="D441" s="52" t="s">
        <v>808</v>
      </c>
      <c r="E441" s="52" t="s">
        <v>461</v>
      </c>
      <c r="F441" s="52"/>
      <c r="G441" s="40">
        <f aca="true" t="shared" si="45" ref="G441:I442">SUM(G442)</f>
        <v>0</v>
      </c>
      <c r="H441" s="40">
        <f t="shared" si="45"/>
        <v>0</v>
      </c>
      <c r="I441" s="40">
        <f t="shared" si="45"/>
        <v>0</v>
      </c>
      <c r="J441" s="75"/>
      <c r="K441" s="68"/>
      <c r="L441" s="68"/>
      <c r="M441" s="69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</row>
    <row r="442" spans="1:29" ht="69.75" customHeight="1" hidden="1">
      <c r="A442" s="50" t="s">
        <v>794</v>
      </c>
      <c r="B442" s="51">
        <v>806</v>
      </c>
      <c r="C442" s="52" t="s">
        <v>57</v>
      </c>
      <c r="D442" s="52" t="s">
        <v>808</v>
      </c>
      <c r="E442" s="52" t="s">
        <v>92</v>
      </c>
      <c r="F442" s="52"/>
      <c r="G442" s="40">
        <f t="shared" si="45"/>
        <v>0</v>
      </c>
      <c r="H442" s="40">
        <f t="shared" si="45"/>
        <v>0</v>
      </c>
      <c r="I442" s="40">
        <f t="shared" si="45"/>
        <v>0</v>
      </c>
      <c r="J442" s="75"/>
      <c r="K442" s="68"/>
      <c r="L442" s="68"/>
      <c r="M442" s="69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</row>
    <row r="443" spans="1:29" ht="16.5" hidden="1">
      <c r="A443" s="81" t="s">
        <v>13</v>
      </c>
      <c r="B443" s="51">
        <v>806</v>
      </c>
      <c r="C443" s="52" t="s">
        <v>57</v>
      </c>
      <c r="D443" s="52" t="s">
        <v>808</v>
      </c>
      <c r="E443" s="52" t="s">
        <v>92</v>
      </c>
      <c r="F443" s="52" t="s">
        <v>572</v>
      </c>
      <c r="G443" s="40"/>
      <c r="H443" s="40"/>
      <c r="I443" s="40"/>
      <c r="J443" s="75"/>
      <c r="K443" s="68"/>
      <c r="L443" s="68"/>
      <c r="M443" s="69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</row>
    <row r="444" spans="1:29" ht="16.5">
      <c r="A444" s="85" t="s">
        <v>815</v>
      </c>
      <c r="B444" s="51">
        <v>806</v>
      </c>
      <c r="C444" s="52" t="s">
        <v>57</v>
      </c>
      <c r="D444" s="52" t="s">
        <v>809</v>
      </c>
      <c r="E444" s="52"/>
      <c r="F444" s="52"/>
      <c r="G444" s="40">
        <f>G445+G450</f>
        <v>2882.1</v>
      </c>
      <c r="H444" s="40">
        <f>H445+H450</f>
        <v>3100.9</v>
      </c>
      <c r="I444" s="40">
        <f>I445+I450</f>
        <v>3341.2999999999997</v>
      </c>
      <c r="J444" s="75"/>
      <c r="K444" s="68"/>
      <c r="L444" s="68"/>
      <c r="M444" s="69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</row>
    <row r="445" spans="1:29" ht="16.5">
      <c r="A445" s="50" t="s">
        <v>314</v>
      </c>
      <c r="B445" s="51">
        <v>806</v>
      </c>
      <c r="C445" s="52" t="s">
        <v>57</v>
      </c>
      <c r="D445" s="52" t="s">
        <v>809</v>
      </c>
      <c r="E445" s="52" t="s">
        <v>139</v>
      </c>
      <c r="F445" s="52"/>
      <c r="G445" s="40">
        <f>SUM(G446,G448)</f>
        <v>2552.6</v>
      </c>
      <c r="H445" s="40">
        <f>SUM(H446,H448)</f>
        <v>2738.8</v>
      </c>
      <c r="I445" s="40">
        <f>SUM(I446,I448)</f>
        <v>2943.1</v>
      </c>
      <c r="J445" s="75"/>
      <c r="K445" s="68"/>
      <c r="L445" s="68"/>
      <c r="M445" s="69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</row>
    <row r="446" spans="1:29" ht="18.75" customHeight="1">
      <c r="A446" s="85" t="s">
        <v>496</v>
      </c>
      <c r="B446" s="51">
        <v>806</v>
      </c>
      <c r="C446" s="52" t="s">
        <v>57</v>
      </c>
      <c r="D446" s="52" t="s">
        <v>809</v>
      </c>
      <c r="E446" s="52" t="s">
        <v>501</v>
      </c>
      <c r="F446" s="52"/>
      <c r="G446" s="40">
        <f>SUM(G447)</f>
        <v>49.5</v>
      </c>
      <c r="H446" s="40">
        <f>SUM(H447)</f>
        <v>49.5</v>
      </c>
      <c r="I446" s="40">
        <f>SUM(I447)</f>
        <v>49.5</v>
      </c>
      <c r="J446" s="75"/>
      <c r="K446" s="68"/>
      <c r="L446" s="68"/>
      <c r="M446" s="69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</row>
    <row r="447" spans="1:29" ht="18.75" customHeight="1">
      <c r="A447" s="81" t="s">
        <v>13</v>
      </c>
      <c r="B447" s="51">
        <v>806</v>
      </c>
      <c r="C447" s="52" t="s">
        <v>57</v>
      </c>
      <c r="D447" s="52" t="s">
        <v>809</v>
      </c>
      <c r="E447" s="52" t="s">
        <v>501</v>
      </c>
      <c r="F447" s="52" t="s">
        <v>572</v>
      </c>
      <c r="G447" s="40">
        <v>49.5</v>
      </c>
      <c r="H447" s="40">
        <v>49.5</v>
      </c>
      <c r="I447" s="40">
        <v>49.5</v>
      </c>
      <c r="J447" s="75"/>
      <c r="K447" s="68"/>
      <c r="L447" s="68"/>
      <c r="M447" s="69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</row>
    <row r="448" spans="1:29" ht="18.75" customHeight="1">
      <c r="A448" s="85" t="s">
        <v>403</v>
      </c>
      <c r="B448" s="51">
        <v>806</v>
      </c>
      <c r="C448" s="52" t="s">
        <v>57</v>
      </c>
      <c r="D448" s="52" t="s">
        <v>809</v>
      </c>
      <c r="E448" s="52" t="s">
        <v>140</v>
      </c>
      <c r="F448" s="52"/>
      <c r="G448" s="40">
        <f>SUM(G449)</f>
        <v>2503.1</v>
      </c>
      <c r="H448" s="40">
        <f>SUM(H449)</f>
        <v>2689.3</v>
      </c>
      <c r="I448" s="40">
        <f>SUM(I449)</f>
        <v>2893.6</v>
      </c>
      <c r="J448" s="75"/>
      <c r="K448" s="68"/>
      <c r="L448" s="68"/>
      <c r="M448" s="69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</row>
    <row r="449" spans="1:29" ht="18" customHeight="1">
      <c r="A449" s="81" t="s">
        <v>13</v>
      </c>
      <c r="B449" s="51">
        <v>806</v>
      </c>
      <c r="C449" s="52" t="s">
        <v>57</v>
      </c>
      <c r="D449" s="52" t="s">
        <v>809</v>
      </c>
      <c r="E449" s="52" t="s">
        <v>140</v>
      </c>
      <c r="F449" s="52" t="s">
        <v>572</v>
      </c>
      <c r="G449" s="40">
        <v>2503.1</v>
      </c>
      <c r="H449" s="40">
        <v>2689.3</v>
      </c>
      <c r="I449" s="40">
        <v>2893.6</v>
      </c>
      <c r="J449" s="75"/>
      <c r="K449" s="68"/>
      <c r="L449" s="68"/>
      <c r="M449" s="69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</row>
    <row r="450" spans="1:29" ht="18" customHeight="1">
      <c r="A450" s="85" t="s">
        <v>568</v>
      </c>
      <c r="B450" s="51">
        <v>806</v>
      </c>
      <c r="C450" s="52" t="s">
        <v>57</v>
      </c>
      <c r="D450" s="52" t="s">
        <v>809</v>
      </c>
      <c r="E450" s="52" t="s">
        <v>143</v>
      </c>
      <c r="F450" s="52"/>
      <c r="G450" s="40">
        <f>G451+G453</f>
        <v>329.5</v>
      </c>
      <c r="H450" s="40">
        <f>H451+H453</f>
        <v>362.09999999999997</v>
      </c>
      <c r="I450" s="40">
        <f>I451+I453</f>
        <v>398.2</v>
      </c>
      <c r="J450" s="75"/>
      <c r="K450" s="68"/>
      <c r="L450" s="68"/>
      <c r="M450" s="69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</row>
    <row r="451" spans="1:29" s="89" customFormat="1" ht="18" customHeight="1">
      <c r="A451" s="85" t="s">
        <v>496</v>
      </c>
      <c r="B451" s="51">
        <v>806</v>
      </c>
      <c r="C451" s="52" t="s">
        <v>57</v>
      </c>
      <c r="D451" s="52" t="s">
        <v>809</v>
      </c>
      <c r="E451" s="52" t="s">
        <v>502</v>
      </c>
      <c r="F451" s="52"/>
      <c r="G451" s="40">
        <f>SUM(G452)</f>
        <v>37.7</v>
      </c>
      <c r="H451" s="40">
        <f>SUM(H452)</f>
        <v>37.7</v>
      </c>
      <c r="I451" s="40">
        <f>SUM(I452)</f>
        <v>37.7</v>
      </c>
      <c r="J451" s="75"/>
      <c r="K451" s="68"/>
      <c r="L451" s="68"/>
      <c r="M451" s="69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</row>
    <row r="452" spans="1:29" s="90" customFormat="1" ht="18" customHeight="1">
      <c r="A452" s="81" t="s">
        <v>13</v>
      </c>
      <c r="B452" s="51">
        <v>806</v>
      </c>
      <c r="C452" s="52" t="s">
        <v>57</v>
      </c>
      <c r="D452" s="52" t="s">
        <v>809</v>
      </c>
      <c r="E452" s="52" t="s">
        <v>502</v>
      </c>
      <c r="F452" s="52" t="s">
        <v>572</v>
      </c>
      <c r="G452" s="40">
        <v>37.7</v>
      </c>
      <c r="H452" s="40">
        <v>37.7</v>
      </c>
      <c r="I452" s="40">
        <v>37.7</v>
      </c>
      <c r="J452" s="75"/>
      <c r="K452" s="68"/>
      <c r="L452" s="68"/>
      <c r="M452" s="69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</row>
    <row r="453" spans="1:29" ht="18" customHeight="1">
      <c r="A453" s="85" t="s">
        <v>403</v>
      </c>
      <c r="B453" s="51">
        <v>806</v>
      </c>
      <c r="C453" s="52" t="s">
        <v>57</v>
      </c>
      <c r="D453" s="52" t="s">
        <v>809</v>
      </c>
      <c r="E453" s="52" t="s">
        <v>144</v>
      </c>
      <c r="F453" s="52"/>
      <c r="G453" s="40">
        <f>SUM(G454)</f>
        <v>291.8</v>
      </c>
      <c r="H453" s="40">
        <f>SUM(H454)</f>
        <v>324.4</v>
      </c>
      <c r="I453" s="40">
        <f>SUM(I454)</f>
        <v>360.5</v>
      </c>
      <c r="J453" s="75"/>
      <c r="K453" s="68"/>
      <c r="L453" s="68"/>
      <c r="M453" s="69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</row>
    <row r="454" spans="1:29" ht="18" customHeight="1">
      <c r="A454" s="81" t="s">
        <v>13</v>
      </c>
      <c r="B454" s="51">
        <v>806</v>
      </c>
      <c r="C454" s="52" t="s">
        <v>57</v>
      </c>
      <c r="D454" s="52" t="s">
        <v>809</v>
      </c>
      <c r="E454" s="52" t="s">
        <v>144</v>
      </c>
      <c r="F454" s="52" t="s">
        <v>572</v>
      </c>
      <c r="G454" s="40">
        <v>291.8</v>
      </c>
      <c r="H454" s="40">
        <v>324.4</v>
      </c>
      <c r="I454" s="40">
        <v>360.5</v>
      </c>
      <c r="J454" s="75"/>
      <c r="K454" s="68"/>
      <c r="L454" s="68"/>
      <c r="M454" s="69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</row>
    <row r="455" spans="1:29" ht="18.75" customHeight="1">
      <c r="A455" s="50" t="s">
        <v>273</v>
      </c>
      <c r="B455" s="51">
        <v>806</v>
      </c>
      <c r="C455" s="52" t="s">
        <v>57</v>
      </c>
      <c r="D455" s="52" t="s">
        <v>810</v>
      </c>
      <c r="E455" s="52"/>
      <c r="F455" s="52"/>
      <c r="G455" s="40">
        <f>SUM(G456,G461)</f>
        <v>126600.90000000001</v>
      </c>
      <c r="H455" s="40">
        <f>SUM(H456,H461)</f>
        <v>123445.3</v>
      </c>
      <c r="I455" s="40">
        <f>SUM(I456,I461)</f>
        <v>105263.1</v>
      </c>
      <c r="J455" s="75"/>
      <c r="K455" s="68"/>
      <c r="L455" s="68"/>
      <c r="M455" s="69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</row>
    <row r="456" spans="1:29" ht="19.5" customHeight="1">
      <c r="A456" s="85" t="s">
        <v>563</v>
      </c>
      <c r="B456" s="51">
        <v>806</v>
      </c>
      <c r="C456" s="52" t="s">
        <v>57</v>
      </c>
      <c r="D456" s="52" t="s">
        <v>810</v>
      </c>
      <c r="E456" s="52" t="s">
        <v>145</v>
      </c>
      <c r="F456" s="52"/>
      <c r="G456" s="40">
        <f>SUM(G457,G459)</f>
        <v>107482.90000000001</v>
      </c>
      <c r="H456" s="40">
        <f>SUM(H457,H459)</f>
        <v>104318.3</v>
      </c>
      <c r="I456" s="40">
        <f>SUM(I457,I459)</f>
        <v>105263.1</v>
      </c>
      <c r="J456" s="75"/>
      <c r="K456" s="68"/>
      <c r="L456" s="68"/>
      <c r="M456" s="69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</row>
    <row r="457" spans="1:29" ht="18" customHeight="1">
      <c r="A457" s="85" t="s">
        <v>496</v>
      </c>
      <c r="B457" s="51">
        <v>806</v>
      </c>
      <c r="C457" s="52" t="s">
        <v>57</v>
      </c>
      <c r="D457" s="52" t="s">
        <v>810</v>
      </c>
      <c r="E457" s="52" t="s">
        <v>816</v>
      </c>
      <c r="F457" s="52"/>
      <c r="G457" s="40">
        <f>SUM(G458)</f>
        <v>333.6</v>
      </c>
      <c r="H457" s="40">
        <f>SUM(H458)</f>
        <v>333.6</v>
      </c>
      <c r="I457" s="40">
        <f>SUM(I458)</f>
        <v>333.6</v>
      </c>
      <c r="J457" s="75"/>
      <c r="K457" s="68"/>
      <c r="L457" s="68"/>
      <c r="M457" s="69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</row>
    <row r="458" spans="1:29" ht="18.75" customHeight="1">
      <c r="A458" s="81" t="s">
        <v>13</v>
      </c>
      <c r="B458" s="51">
        <v>806</v>
      </c>
      <c r="C458" s="52" t="s">
        <v>57</v>
      </c>
      <c r="D458" s="52" t="s">
        <v>810</v>
      </c>
      <c r="E458" s="52" t="s">
        <v>816</v>
      </c>
      <c r="F458" s="52" t="s">
        <v>572</v>
      </c>
      <c r="G458" s="40">
        <v>333.6</v>
      </c>
      <c r="H458" s="40">
        <v>333.6</v>
      </c>
      <c r="I458" s="40">
        <v>333.6</v>
      </c>
      <c r="J458" s="75"/>
      <c r="K458" s="68"/>
      <c r="L458" s="68"/>
      <c r="M458" s="69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</row>
    <row r="459" spans="1:29" ht="19.5" customHeight="1">
      <c r="A459" s="85" t="s">
        <v>403</v>
      </c>
      <c r="B459" s="51">
        <v>806</v>
      </c>
      <c r="C459" s="52" t="s">
        <v>57</v>
      </c>
      <c r="D459" s="52" t="s">
        <v>810</v>
      </c>
      <c r="E459" s="52" t="s">
        <v>146</v>
      </c>
      <c r="F459" s="52"/>
      <c r="G459" s="40">
        <f>SUM(G460)</f>
        <v>107149.3</v>
      </c>
      <c r="H459" s="40">
        <f>SUM(H460)</f>
        <v>103984.7</v>
      </c>
      <c r="I459" s="40">
        <f>SUM(I460)</f>
        <v>104929.5</v>
      </c>
      <c r="J459" s="75"/>
      <c r="K459" s="68"/>
      <c r="L459" s="68"/>
      <c r="M459" s="69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</row>
    <row r="460" spans="1:29" ht="20.25" customHeight="1">
      <c r="A460" s="81" t="s">
        <v>13</v>
      </c>
      <c r="B460" s="51">
        <v>806</v>
      </c>
      <c r="C460" s="52" t="s">
        <v>57</v>
      </c>
      <c r="D460" s="52" t="s">
        <v>810</v>
      </c>
      <c r="E460" s="52" t="s">
        <v>146</v>
      </c>
      <c r="F460" s="52" t="s">
        <v>572</v>
      </c>
      <c r="G460" s="40">
        <v>107149.3</v>
      </c>
      <c r="H460" s="40">
        <v>103984.7</v>
      </c>
      <c r="I460" s="40">
        <v>104929.5</v>
      </c>
      <c r="J460" s="75"/>
      <c r="K460" s="68"/>
      <c r="L460" s="68"/>
      <c r="M460" s="69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</row>
    <row r="461" spans="1:29" ht="16.5">
      <c r="A461" s="50" t="s">
        <v>119</v>
      </c>
      <c r="B461" s="51">
        <v>806</v>
      </c>
      <c r="C461" s="52" t="s">
        <v>57</v>
      </c>
      <c r="D461" s="52" t="s">
        <v>810</v>
      </c>
      <c r="E461" s="52" t="s">
        <v>461</v>
      </c>
      <c r="F461" s="52"/>
      <c r="G461" s="40">
        <f aca="true" t="shared" si="46" ref="G461:I462">SUM(G462)</f>
        <v>19118</v>
      </c>
      <c r="H461" s="40">
        <f t="shared" si="46"/>
        <v>19127</v>
      </c>
      <c r="I461" s="40">
        <f t="shared" si="46"/>
        <v>0</v>
      </c>
      <c r="J461" s="75"/>
      <c r="K461" s="68"/>
      <c r="L461" s="68"/>
      <c r="M461" s="69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</row>
    <row r="462" spans="1:29" ht="35.25" customHeight="1">
      <c r="A462" s="81" t="s">
        <v>94</v>
      </c>
      <c r="B462" s="51">
        <v>806</v>
      </c>
      <c r="C462" s="52" t="s">
        <v>57</v>
      </c>
      <c r="D462" s="52" t="s">
        <v>810</v>
      </c>
      <c r="E462" s="52" t="s">
        <v>93</v>
      </c>
      <c r="F462" s="52"/>
      <c r="G462" s="40">
        <f t="shared" si="46"/>
        <v>19118</v>
      </c>
      <c r="H462" s="40">
        <f t="shared" si="46"/>
        <v>19127</v>
      </c>
      <c r="I462" s="40">
        <f t="shared" si="46"/>
        <v>0</v>
      </c>
      <c r="J462" s="75"/>
      <c r="K462" s="68"/>
      <c r="L462" s="68"/>
      <c r="M462" s="69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</row>
    <row r="463" spans="1:29" ht="18.75" customHeight="1">
      <c r="A463" s="81" t="s">
        <v>13</v>
      </c>
      <c r="B463" s="51">
        <v>806</v>
      </c>
      <c r="C463" s="52" t="s">
        <v>57</v>
      </c>
      <c r="D463" s="52" t="s">
        <v>810</v>
      </c>
      <c r="E463" s="52" t="s">
        <v>93</v>
      </c>
      <c r="F463" s="52" t="s">
        <v>572</v>
      </c>
      <c r="G463" s="40">
        <v>19118</v>
      </c>
      <c r="H463" s="40">
        <v>19127</v>
      </c>
      <c r="I463" s="40"/>
      <c r="J463" s="75"/>
      <c r="K463" s="68"/>
      <c r="L463" s="68"/>
      <c r="M463" s="69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</row>
    <row r="464" spans="1:29" ht="18" customHeight="1">
      <c r="A464" s="50" t="s">
        <v>274</v>
      </c>
      <c r="B464" s="51">
        <v>806</v>
      </c>
      <c r="C464" s="52" t="s">
        <v>57</v>
      </c>
      <c r="D464" s="52" t="s">
        <v>59</v>
      </c>
      <c r="E464" s="52"/>
      <c r="F464" s="52"/>
      <c r="G464" s="40">
        <f>SUM(G465)</f>
        <v>7488.099999999999</v>
      </c>
      <c r="H464" s="40">
        <f>SUM(H465)</f>
        <v>7526.7</v>
      </c>
      <c r="I464" s="40">
        <f>SUM(I465)</f>
        <v>7697.7</v>
      </c>
      <c r="J464" s="75"/>
      <c r="K464" s="68"/>
      <c r="L464" s="68"/>
      <c r="M464" s="69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</row>
    <row r="465" spans="1:29" s="89" customFormat="1" ht="19.5" customHeight="1">
      <c r="A465" s="85" t="s">
        <v>561</v>
      </c>
      <c r="B465" s="51">
        <v>806</v>
      </c>
      <c r="C465" s="52" t="s">
        <v>57</v>
      </c>
      <c r="D465" s="52" t="s">
        <v>59</v>
      </c>
      <c r="E465" s="52" t="s">
        <v>147</v>
      </c>
      <c r="F465" s="52"/>
      <c r="G465" s="40">
        <f>SUM(G466,G468)</f>
        <v>7488.099999999999</v>
      </c>
      <c r="H465" s="40">
        <f>SUM(H466,H468)</f>
        <v>7526.7</v>
      </c>
      <c r="I465" s="40">
        <f>SUM(I466,I468)</f>
        <v>7697.7</v>
      </c>
      <c r="J465" s="75"/>
      <c r="K465" s="68"/>
      <c r="L465" s="68"/>
      <c r="M465" s="69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</row>
    <row r="466" spans="1:29" s="90" customFormat="1" ht="18" customHeight="1">
      <c r="A466" s="85" t="s">
        <v>496</v>
      </c>
      <c r="B466" s="51">
        <v>806</v>
      </c>
      <c r="C466" s="52" t="s">
        <v>57</v>
      </c>
      <c r="D466" s="52" t="s">
        <v>59</v>
      </c>
      <c r="E466" s="52" t="s">
        <v>503</v>
      </c>
      <c r="F466" s="52"/>
      <c r="G466" s="40">
        <f>SUM(G467)</f>
        <v>219.7</v>
      </c>
      <c r="H466" s="40">
        <f>SUM(H467)</f>
        <v>219.7</v>
      </c>
      <c r="I466" s="40">
        <f>SUM(I467)</f>
        <v>219.7</v>
      </c>
      <c r="J466" s="75"/>
      <c r="K466" s="68"/>
      <c r="L466" s="68"/>
      <c r="M466" s="69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</row>
    <row r="467" spans="1:29" ht="18.75" customHeight="1">
      <c r="A467" s="81" t="s">
        <v>13</v>
      </c>
      <c r="B467" s="51">
        <v>806</v>
      </c>
      <c r="C467" s="52" t="s">
        <v>57</v>
      </c>
      <c r="D467" s="52" t="s">
        <v>59</v>
      </c>
      <c r="E467" s="52" t="s">
        <v>503</v>
      </c>
      <c r="F467" s="52" t="s">
        <v>572</v>
      </c>
      <c r="G467" s="40">
        <v>219.7</v>
      </c>
      <c r="H467" s="40">
        <v>219.7</v>
      </c>
      <c r="I467" s="40">
        <v>219.7</v>
      </c>
      <c r="J467" s="75"/>
      <c r="K467" s="68"/>
      <c r="L467" s="68"/>
      <c r="M467" s="69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</row>
    <row r="468" spans="1:29" ht="17.25" customHeight="1">
      <c r="A468" s="85" t="s">
        <v>403</v>
      </c>
      <c r="B468" s="51">
        <v>806</v>
      </c>
      <c r="C468" s="52" t="s">
        <v>57</v>
      </c>
      <c r="D468" s="52" t="s">
        <v>59</v>
      </c>
      <c r="E468" s="52" t="s">
        <v>148</v>
      </c>
      <c r="F468" s="52"/>
      <c r="G468" s="40">
        <f>SUM(G469)</f>
        <v>7268.4</v>
      </c>
      <c r="H468" s="40">
        <f>SUM(H469)</f>
        <v>7307</v>
      </c>
      <c r="I468" s="40">
        <f>SUM(I469)</f>
        <v>7478</v>
      </c>
      <c r="J468" s="75"/>
      <c r="K468" s="68"/>
      <c r="L468" s="68"/>
      <c r="M468" s="69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</row>
    <row r="469" spans="1:29" ht="18" customHeight="1">
      <c r="A469" s="81" t="s">
        <v>13</v>
      </c>
      <c r="B469" s="51">
        <v>806</v>
      </c>
      <c r="C469" s="52" t="s">
        <v>57</v>
      </c>
      <c r="D469" s="52" t="s">
        <v>59</v>
      </c>
      <c r="E469" s="52" t="s">
        <v>148</v>
      </c>
      <c r="F469" s="52" t="s">
        <v>572</v>
      </c>
      <c r="G469" s="40">
        <v>7268.4</v>
      </c>
      <c r="H469" s="40">
        <v>7307</v>
      </c>
      <c r="I469" s="40">
        <v>7478</v>
      </c>
      <c r="J469" s="75"/>
      <c r="K469" s="68"/>
      <c r="L469" s="68"/>
      <c r="M469" s="69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</row>
    <row r="470" spans="1:29" ht="21.75" customHeight="1">
      <c r="A470" s="50" t="s">
        <v>510</v>
      </c>
      <c r="B470" s="51">
        <v>806</v>
      </c>
      <c r="C470" s="52" t="s">
        <v>57</v>
      </c>
      <c r="D470" s="52" t="s">
        <v>57</v>
      </c>
      <c r="E470" s="52"/>
      <c r="F470" s="52"/>
      <c r="G470" s="40">
        <f>SUM(G471,G474,G479,G488,G493,G486)</f>
        <v>31336.800000000003</v>
      </c>
      <c r="H470" s="40">
        <f>SUM(H471,H474,H479,H488,H493,H486)</f>
        <v>35146.5</v>
      </c>
      <c r="I470" s="40">
        <f>SUM(I471,I474,I479,I488,I493,I486)</f>
        <v>33032.700000000004</v>
      </c>
      <c r="J470" s="75"/>
      <c r="K470" s="68"/>
      <c r="L470" s="68"/>
      <c r="M470" s="69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</row>
    <row r="471" spans="1:29" ht="39" customHeight="1">
      <c r="A471" s="81" t="s">
        <v>42</v>
      </c>
      <c r="B471" s="51">
        <v>806</v>
      </c>
      <c r="C471" s="52" t="s">
        <v>57</v>
      </c>
      <c r="D471" s="52" t="s">
        <v>57</v>
      </c>
      <c r="E471" s="52" t="s">
        <v>43</v>
      </c>
      <c r="F471" s="52"/>
      <c r="G471" s="40">
        <f aca="true" t="shared" si="47" ref="G471:I472">SUM(G472)</f>
        <v>8910.5</v>
      </c>
      <c r="H471" s="40">
        <f t="shared" si="47"/>
        <v>8928.699999999999</v>
      </c>
      <c r="I471" s="40">
        <f t="shared" si="47"/>
        <v>8945.8</v>
      </c>
      <c r="J471" s="75"/>
      <c r="K471" s="68"/>
      <c r="L471" s="68"/>
      <c r="M471" s="69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</row>
    <row r="472" spans="1:29" ht="19.5" customHeight="1">
      <c r="A472" s="81" t="s">
        <v>47</v>
      </c>
      <c r="B472" s="51">
        <v>806</v>
      </c>
      <c r="C472" s="52" t="s">
        <v>57</v>
      </c>
      <c r="D472" s="52" t="s">
        <v>57</v>
      </c>
      <c r="E472" s="52" t="s">
        <v>45</v>
      </c>
      <c r="F472" s="52"/>
      <c r="G472" s="40">
        <f t="shared" si="47"/>
        <v>8910.5</v>
      </c>
      <c r="H472" s="40">
        <f t="shared" si="47"/>
        <v>8928.699999999999</v>
      </c>
      <c r="I472" s="40">
        <f t="shared" si="47"/>
        <v>8945.8</v>
      </c>
      <c r="J472" s="75"/>
      <c r="K472" s="68"/>
      <c r="L472" s="68"/>
      <c r="M472" s="69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</row>
    <row r="473" spans="1:29" ht="19.5" customHeight="1">
      <c r="A473" s="82" t="s">
        <v>361</v>
      </c>
      <c r="B473" s="51">
        <v>806</v>
      </c>
      <c r="C473" s="52" t="s">
        <v>57</v>
      </c>
      <c r="D473" s="52" t="s">
        <v>57</v>
      </c>
      <c r="E473" s="52" t="s">
        <v>45</v>
      </c>
      <c r="F473" s="52" t="s">
        <v>214</v>
      </c>
      <c r="G473" s="40">
        <f>8001.7+908.8</f>
        <v>8910.5</v>
      </c>
      <c r="H473" s="40">
        <f>8019.9+908.8</f>
        <v>8928.699999999999</v>
      </c>
      <c r="I473" s="40">
        <f>8037+908.8</f>
        <v>8945.8</v>
      </c>
      <c r="J473" s="75"/>
      <c r="K473" s="68"/>
      <c r="L473" s="68"/>
      <c r="M473" s="69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</row>
    <row r="474" spans="1:29" ht="39" customHeight="1">
      <c r="A474" s="81" t="s">
        <v>0</v>
      </c>
      <c r="B474" s="51">
        <v>806</v>
      </c>
      <c r="C474" s="52" t="s">
        <v>57</v>
      </c>
      <c r="D474" s="52" t="s">
        <v>57</v>
      </c>
      <c r="E474" s="52" t="s">
        <v>555</v>
      </c>
      <c r="F474" s="52"/>
      <c r="G474" s="40">
        <f>SUM(G475,G477)</f>
        <v>10283.2</v>
      </c>
      <c r="H474" s="40">
        <f>SUM(H475,H477)</f>
        <v>10232.2</v>
      </c>
      <c r="I474" s="40">
        <f>SUM(I475,I477)</f>
        <v>10284.2</v>
      </c>
      <c r="J474" s="75"/>
      <c r="K474" s="68"/>
      <c r="L474" s="68"/>
      <c r="M474" s="69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</row>
    <row r="475" spans="1:29" ht="18" customHeight="1" hidden="1">
      <c r="A475" s="85" t="s">
        <v>496</v>
      </c>
      <c r="B475" s="51">
        <v>806</v>
      </c>
      <c r="C475" s="52" t="s">
        <v>57</v>
      </c>
      <c r="D475" s="52" t="s">
        <v>57</v>
      </c>
      <c r="E475" s="52" t="s">
        <v>500</v>
      </c>
      <c r="F475" s="52"/>
      <c r="G475" s="40">
        <f>SUM(G476)</f>
        <v>0</v>
      </c>
      <c r="H475" s="40">
        <f>SUM(H476)</f>
        <v>0</v>
      </c>
      <c r="I475" s="40">
        <f>SUM(I476)</f>
        <v>0</v>
      </c>
      <c r="J475" s="75"/>
      <c r="K475" s="68"/>
      <c r="L475" s="68"/>
      <c r="M475" s="69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</row>
    <row r="476" spans="1:29" ht="19.5" customHeight="1" hidden="1">
      <c r="A476" s="81" t="s">
        <v>13</v>
      </c>
      <c r="B476" s="51">
        <v>806</v>
      </c>
      <c r="C476" s="52" t="s">
        <v>57</v>
      </c>
      <c r="D476" s="52" t="s">
        <v>57</v>
      </c>
      <c r="E476" s="52" t="s">
        <v>500</v>
      </c>
      <c r="F476" s="52" t="s">
        <v>572</v>
      </c>
      <c r="G476" s="40"/>
      <c r="H476" s="40"/>
      <c r="I476" s="40"/>
      <c r="J476" s="75"/>
      <c r="K476" s="68"/>
      <c r="L476" s="68"/>
      <c r="M476" s="69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</row>
    <row r="477" spans="1:29" ht="19.5" customHeight="1">
      <c r="A477" s="85" t="s">
        <v>403</v>
      </c>
      <c r="B477" s="51">
        <v>806</v>
      </c>
      <c r="C477" s="52" t="s">
        <v>57</v>
      </c>
      <c r="D477" s="52" t="s">
        <v>57</v>
      </c>
      <c r="E477" s="52" t="s">
        <v>556</v>
      </c>
      <c r="F477" s="52"/>
      <c r="G477" s="40">
        <f>SUM(G478)</f>
        <v>10283.2</v>
      </c>
      <c r="H477" s="40">
        <f>SUM(H478)</f>
        <v>10232.2</v>
      </c>
      <c r="I477" s="40">
        <f>SUM(I478)</f>
        <v>10284.2</v>
      </c>
      <c r="J477" s="75"/>
      <c r="K477" s="68"/>
      <c r="L477" s="68"/>
      <c r="M477" s="69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</row>
    <row r="478" spans="1:29" s="89" customFormat="1" ht="20.25" customHeight="1">
      <c r="A478" s="81" t="s">
        <v>13</v>
      </c>
      <c r="B478" s="51">
        <v>806</v>
      </c>
      <c r="C478" s="52" t="s">
        <v>57</v>
      </c>
      <c r="D478" s="52" t="s">
        <v>57</v>
      </c>
      <c r="E478" s="52" t="s">
        <v>556</v>
      </c>
      <c r="F478" s="52" t="s">
        <v>572</v>
      </c>
      <c r="G478" s="40">
        <v>10283.2</v>
      </c>
      <c r="H478" s="40">
        <v>10232.2</v>
      </c>
      <c r="I478" s="40">
        <v>10284.2</v>
      </c>
      <c r="J478" s="75"/>
      <c r="K478" s="68"/>
      <c r="L478" s="68"/>
      <c r="M478" s="69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</row>
    <row r="479" spans="1:29" s="90" customFormat="1" ht="20.25" customHeight="1">
      <c r="A479" s="85" t="s">
        <v>486</v>
      </c>
      <c r="B479" s="51">
        <v>806</v>
      </c>
      <c r="C479" s="52" t="s">
        <v>57</v>
      </c>
      <c r="D479" s="52" t="s">
        <v>57</v>
      </c>
      <c r="E479" s="52" t="s">
        <v>149</v>
      </c>
      <c r="F479" s="52"/>
      <c r="G479" s="40">
        <f>SUM(G480,G482)</f>
        <v>1581</v>
      </c>
      <c r="H479" s="40">
        <f>SUM(H480,H482)</f>
        <v>1614.8</v>
      </c>
      <c r="I479" s="40">
        <f>SUM(I480,I482)</f>
        <v>1648.7</v>
      </c>
      <c r="J479" s="75"/>
      <c r="K479" s="68"/>
      <c r="L479" s="68"/>
      <c r="M479" s="69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</row>
    <row r="480" spans="1:29" ht="19.5" customHeight="1" hidden="1">
      <c r="A480" s="85" t="s">
        <v>496</v>
      </c>
      <c r="B480" s="51">
        <v>806</v>
      </c>
      <c r="C480" s="52" t="s">
        <v>57</v>
      </c>
      <c r="D480" s="52" t="s">
        <v>57</v>
      </c>
      <c r="E480" s="52" t="s">
        <v>504</v>
      </c>
      <c r="F480" s="52"/>
      <c r="G480" s="40">
        <f>SUM(G481)</f>
        <v>0</v>
      </c>
      <c r="H480" s="40">
        <f>SUM(H481)</f>
        <v>0</v>
      </c>
      <c r="I480" s="40">
        <f>SUM(I481)</f>
        <v>0</v>
      </c>
      <c r="J480" s="75"/>
      <c r="K480" s="68"/>
      <c r="L480" s="68"/>
      <c r="M480" s="69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</row>
    <row r="481" spans="1:29" ht="16.5" hidden="1">
      <c r="A481" s="81" t="s">
        <v>13</v>
      </c>
      <c r="B481" s="51">
        <v>806</v>
      </c>
      <c r="C481" s="52" t="s">
        <v>57</v>
      </c>
      <c r="D481" s="52" t="s">
        <v>57</v>
      </c>
      <c r="E481" s="52" t="s">
        <v>504</v>
      </c>
      <c r="F481" s="52" t="s">
        <v>572</v>
      </c>
      <c r="G481" s="40"/>
      <c r="H481" s="40"/>
      <c r="I481" s="40"/>
      <c r="J481" s="75"/>
      <c r="K481" s="68"/>
      <c r="L481" s="68"/>
      <c r="M481" s="69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</row>
    <row r="482" spans="1:29" ht="18" customHeight="1">
      <c r="A482" s="85" t="s">
        <v>403</v>
      </c>
      <c r="B482" s="51">
        <v>806</v>
      </c>
      <c r="C482" s="52" t="s">
        <v>57</v>
      </c>
      <c r="D482" s="52" t="s">
        <v>57</v>
      </c>
      <c r="E482" s="52" t="s">
        <v>150</v>
      </c>
      <c r="F482" s="52"/>
      <c r="G482" s="40">
        <f>SUM(G483)</f>
        <v>1581</v>
      </c>
      <c r="H482" s="40">
        <f>SUM(H483)</f>
        <v>1614.8</v>
      </c>
      <c r="I482" s="40">
        <f>SUM(I483)</f>
        <v>1648.7</v>
      </c>
      <c r="J482" s="75"/>
      <c r="K482" s="68"/>
      <c r="L482" s="68"/>
      <c r="M482" s="69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</row>
    <row r="483" spans="1:29" ht="18.75" customHeight="1">
      <c r="A483" s="81" t="s">
        <v>13</v>
      </c>
      <c r="B483" s="51">
        <v>806</v>
      </c>
      <c r="C483" s="52" t="s">
        <v>57</v>
      </c>
      <c r="D483" s="52" t="s">
        <v>57</v>
      </c>
      <c r="E483" s="52" t="s">
        <v>150</v>
      </c>
      <c r="F483" s="52" t="s">
        <v>572</v>
      </c>
      <c r="G483" s="40">
        <v>1581</v>
      </c>
      <c r="H483" s="40">
        <v>1614.8</v>
      </c>
      <c r="I483" s="40">
        <v>1648.7</v>
      </c>
      <c r="J483" s="75"/>
      <c r="K483" s="68"/>
      <c r="L483" s="68"/>
      <c r="M483" s="69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</row>
    <row r="484" spans="1:29" ht="18.75" customHeight="1">
      <c r="A484" s="81" t="s">
        <v>341</v>
      </c>
      <c r="B484" s="51">
        <v>806</v>
      </c>
      <c r="C484" s="52" t="s">
        <v>57</v>
      </c>
      <c r="D484" s="52" t="s">
        <v>57</v>
      </c>
      <c r="E484" s="52" t="s">
        <v>340</v>
      </c>
      <c r="F484" s="52"/>
      <c r="G484" s="40">
        <f aca="true" t="shared" si="48" ref="G484:I486">G485</f>
        <v>3882.4</v>
      </c>
      <c r="H484" s="40">
        <f t="shared" si="48"/>
        <v>3882.4</v>
      </c>
      <c r="I484" s="40">
        <f t="shared" si="48"/>
        <v>3882.4</v>
      </c>
      <c r="J484" s="75"/>
      <c r="K484" s="68"/>
      <c r="L484" s="68"/>
      <c r="M484" s="69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</row>
    <row r="485" spans="1:29" ht="18.75" customHeight="1">
      <c r="A485" s="81" t="s">
        <v>342</v>
      </c>
      <c r="B485" s="51">
        <v>806</v>
      </c>
      <c r="C485" s="52" t="s">
        <v>57</v>
      </c>
      <c r="D485" s="52" t="s">
        <v>57</v>
      </c>
      <c r="E485" s="52" t="s">
        <v>440</v>
      </c>
      <c r="F485" s="52"/>
      <c r="G485" s="40">
        <f t="shared" si="48"/>
        <v>3882.4</v>
      </c>
      <c r="H485" s="40">
        <f t="shared" si="48"/>
        <v>3882.4</v>
      </c>
      <c r="I485" s="40">
        <f t="shared" si="48"/>
        <v>3882.4</v>
      </c>
      <c r="J485" s="75"/>
      <c r="K485" s="68"/>
      <c r="L485" s="68"/>
      <c r="M485" s="69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</row>
    <row r="486" spans="1:29" ht="34.5" customHeight="1">
      <c r="A486" s="81" t="s">
        <v>438</v>
      </c>
      <c r="B486" s="51">
        <v>806</v>
      </c>
      <c r="C486" s="52" t="s">
        <v>57</v>
      </c>
      <c r="D486" s="52" t="s">
        <v>57</v>
      </c>
      <c r="E486" s="52" t="s">
        <v>439</v>
      </c>
      <c r="F486" s="52"/>
      <c r="G486" s="40">
        <f t="shared" si="48"/>
        <v>3882.4</v>
      </c>
      <c r="H486" s="40">
        <f t="shared" si="48"/>
        <v>3882.4</v>
      </c>
      <c r="I486" s="40">
        <f t="shared" si="48"/>
        <v>3882.4</v>
      </c>
      <c r="J486" s="75"/>
      <c r="K486" s="68"/>
      <c r="L486" s="68"/>
      <c r="M486" s="69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</row>
    <row r="487" spans="1:29" ht="18.75" customHeight="1">
      <c r="A487" s="81" t="s">
        <v>621</v>
      </c>
      <c r="B487" s="51">
        <v>806</v>
      </c>
      <c r="C487" s="52" t="s">
        <v>57</v>
      </c>
      <c r="D487" s="52" t="s">
        <v>57</v>
      </c>
      <c r="E487" s="52" t="s">
        <v>439</v>
      </c>
      <c r="F487" s="52" t="s">
        <v>277</v>
      </c>
      <c r="G487" s="40">
        <v>3882.4</v>
      </c>
      <c r="H487" s="40">
        <v>3882.4</v>
      </c>
      <c r="I487" s="40">
        <v>3882.4</v>
      </c>
      <c r="J487" s="75"/>
      <c r="K487" s="68"/>
      <c r="L487" s="68"/>
      <c r="M487" s="69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</row>
    <row r="488" spans="1:29" ht="18.75" customHeight="1">
      <c r="A488" s="82" t="s">
        <v>297</v>
      </c>
      <c r="B488" s="51">
        <v>806</v>
      </c>
      <c r="C488" s="52" t="s">
        <v>57</v>
      </c>
      <c r="D488" s="52" t="s">
        <v>57</v>
      </c>
      <c r="E488" s="52" t="s">
        <v>395</v>
      </c>
      <c r="F488" s="52"/>
      <c r="G488" s="40">
        <f>SUM(G491,G489)</f>
        <v>2500</v>
      </c>
      <c r="H488" s="40">
        <f>SUM(H491,H489)</f>
        <v>5756</v>
      </c>
      <c r="I488" s="40">
        <f>SUM(I491,I489)</f>
        <v>0</v>
      </c>
      <c r="J488" s="75"/>
      <c r="K488" s="68"/>
      <c r="L488" s="68"/>
      <c r="M488" s="69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</row>
    <row r="489" spans="1:29" ht="33.75" customHeight="1">
      <c r="A489" s="82" t="s">
        <v>441</v>
      </c>
      <c r="B489" s="51">
        <v>806</v>
      </c>
      <c r="C489" s="52" t="s">
        <v>57</v>
      </c>
      <c r="D489" s="52" t="s">
        <v>57</v>
      </c>
      <c r="E489" s="52" t="s">
        <v>442</v>
      </c>
      <c r="F489" s="52"/>
      <c r="G489" s="40">
        <f>G490</f>
        <v>0</v>
      </c>
      <c r="H489" s="40">
        <f>H490</f>
        <v>3056</v>
      </c>
      <c r="I489" s="40">
        <f>I490</f>
        <v>0</v>
      </c>
      <c r="J489" s="75"/>
      <c r="K489" s="68"/>
      <c r="L489" s="68"/>
      <c r="M489" s="69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</row>
    <row r="490" spans="1:29" ht="18.75" customHeight="1">
      <c r="A490" s="81" t="s">
        <v>621</v>
      </c>
      <c r="B490" s="51">
        <v>806</v>
      </c>
      <c r="C490" s="52" t="s">
        <v>57</v>
      </c>
      <c r="D490" s="52" t="s">
        <v>57</v>
      </c>
      <c r="E490" s="52" t="s">
        <v>442</v>
      </c>
      <c r="F490" s="52" t="s">
        <v>277</v>
      </c>
      <c r="G490" s="40"/>
      <c r="H490" s="40">
        <v>3056</v>
      </c>
      <c r="I490" s="40"/>
      <c r="J490" s="75"/>
      <c r="K490" s="68"/>
      <c r="L490" s="68"/>
      <c r="M490" s="69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</row>
    <row r="491" spans="1:29" ht="35.25" customHeight="1">
      <c r="A491" s="81" t="s">
        <v>36</v>
      </c>
      <c r="B491" s="51">
        <v>806</v>
      </c>
      <c r="C491" s="52" t="s">
        <v>57</v>
      </c>
      <c r="D491" s="52" t="s">
        <v>57</v>
      </c>
      <c r="E491" s="52" t="s">
        <v>95</v>
      </c>
      <c r="F491" s="52"/>
      <c r="G491" s="40">
        <f>SUM(G492)</f>
        <v>2500</v>
      </c>
      <c r="H491" s="40">
        <f>SUM(H492)</f>
        <v>2700</v>
      </c>
      <c r="I491" s="40">
        <f>SUM(I492)</f>
        <v>0</v>
      </c>
      <c r="J491" s="75"/>
      <c r="K491" s="68"/>
      <c r="L491" s="68"/>
      <c r="M491" s="69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</row>
    <row r="492" spans="1:29" ht="18" customHeight="1">
      <c r="A492" s="81" t="s">
        <v>621</v>
      </c>
      <c r="B492" s="51">
        <v>806</v>
      </c>
      <c r="C492" s="52" t="s">
        <v>57</v>
      </c>
      <c r="D492" s="52" t="s">
        <v>57</v>
      </c>
      <c r="E492" s="52" t="s">
        <v>95</v>
      </c>
      <c r="F492" s="52" t="s">
        <v>277</v>
      </c>
      <c r="G492" s="40">
        <v>2500</v>
      </c>
      <c r="H492" s="40">
        <v>2700</v>
      </c>
      <c r="I492" s="40"/>
      <c r="J492" s="75"/>
      <c r="K492" s="68"/>
      <c r="L492" s="68"/>
      <c r="M492" s="69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</row>
    <row r="493" spans="1:29" ht="20.25" customHeight="1">
      <c r="A493" s="86" t="s">
        <v>364</v>
      </c>
      <c r="B493" s="51">
        <v>806</v>
      </c>
      <c r="C493" s="52" t="s">
        <v>57</v>
      </c>
      <c r="D493" s="52" t="s">
        <v>57</v>
      </c>
      <c r="E493" s="52" t="s">
        <v>358</v>
      </c>
      <c r="F493" s="52"/>
      <c r="G493" s="40">
        <f>G494</f>
        <v>4179.7</v>
      </c>
      <c r="H493" s="40">
        <f>H494</f>
        <v>4732.400000000001</v>
      </c>
      <c r="I493" s="40">
        <f>I494</f>
        <v>8271.6</v>
      </c>
      <c r="J493" s="75"/>
      <c r="K493" s="68"/>
      <c r="L493" s="68"/>
      <c r="M493" s="69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</row>
    <row r="494" spans="1:29" ht="20.25" customHeight="1">
      <c r="A494" s="86" t="s">
        <v>394</v>
      </c>
      <c r="B494" s="51">
        <v>806</v>
      </c>
      <c r="C494" s="52" t="s">
        <v>57</v>
      </c>
      <c r="D494" s="52" t="s">
        <v>57</v>
      </c>
      <c r="E494" s="52" t="s">
        <v>359</v>
      </c>
      <c r="F494" s="52"/>
      <c r="G494" s="40">
        <f>G495+G497</f>
        <v>4179.7</v>
      </c>
      <c r="H494" s="40">
        <f>H495+H497</f>
        <v>4732.400000000001</v>
      </c>
      <c r="I494" s="40">
        <f>I495+I497</f>
        <v>8271.6</v>
      </c>
      <c r="J494" s="75"/>
      <c r="K494" s="68"/>
      <c r="L494" s="68"/>
      <c r="M494" s="69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</row>
    <row r="495" spans="1:29" ht="21.75" customHeight="1">
      <c r="A495" s="85" t="s">
        <v>215</v>
      </c>
      <c r="B495" s="51">
        <v>806</v>
      </c>
      <c r="C495" s="52" t="s">
        <v>57</v>
      </c>
      <c r="D495" s="52" t="s">
        <v>57</v>
      </c>
      <c r="E495" s="52" t="s">
        <v>369</v>
      </c>
      <c r="F495" s="52"/>
      <c r="G495" s="40">
        <f>SUM(G496)</f>
        <v>629.3</v>
      </c>
      <c r="H495" s="40">
        <f>SUM(H496)</f>
        <v>707.6</v>
      </c>
      <c r="I495" s="40">
        <f>SUM(I496)</f>
        <v>1167.6</v>
      </c>
      <c r="J495" s="75"/>
      <c r="K495" s="68"/>
      <c r="L495" s="68"/>
      <c r="M495" s="69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</row>
    <row r="496" spans="1:29" ht="21.75" customHeight="1">
      <c r="A496" s="50" t="s">
        <v>233</v>
      </c>
      <c r="B496" s="51">
        <v>806</v>
      </c>
      <c r="C496" s="52" t="s">
        <v>57</v>
      </c>
      <c r="D496" s="52" t="s">
        <v>57</v>
      </c>
      <c r="E496" s="52" t="s">
        <v>369</v>
      </c>
      <c r="F496" s="52" t="s">
        <v>277</v>
      </c>
      <c r="G496" s="40">
        <v>629.3</v>
      </c>
      <c r="H496" s="40">
        <v>707.6</v>
      </c>
      <c r="I496" s="40">
        <v>1167.6</v>
      </c>
      <c r="J496" s="75"/>
      <c r="K496" s="68"/>
      <c r="L496" s="68"/>
      <c r="M496" s="69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</row>
    <row r="497" spans="1:29" ht="17.25" customHeight="1">
      <c r="A497" s="85" t="s">
        <v>796</v>
      </c>
      <c r="B497" s="51">
        <v>806</v>
      </c>
      <c r="C497" s="52" t="s">
        <v>57</v>
      </c>
      <c r="D497" s="52" t="s">
        <v>57</v>
      </c>
      <c r="E497" s="52" t="s">
        <v>365</v>
      </c>
      <c r="F497" s="52"/>
      <c r="G497" s="40">
        <f>SUM(G498)</f>
        <v>3550.4</v>
      </c>
      <c r="H497" s="40">
        <f>SUM(H498)</f>
        <v>4024.8</v>
      </c>
      <c r="I497" s="40">
        <f>SUM(I498)</f>
        <v>7104</v>
      </c>
      <c r="J497" s="75"/>
      <c r="K497" s="68"/>
      <c r="L497" s="68"/>
      <c r="M497" s="69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</row>
    <row r="498" spans="1:29" ht="21" customHeight="1">
      <c r="A498" s="81" t="s">
        <v>621</v>
      </c>
      <c r="B498" s="51">
        <v>806</v>
      </c>
      <c r="C498" s="52" t="s">
        <v>57</v>
      </c>
      <c r="D498" s="52" t="s">
        <v>57</v>
      </c>
      <c r="E498" s="52" t="s">
        <v>365</v>
      </c>
      <c r="F498" s="52" t="s">
        <v>277</v>
      </c>
      <c r="G498" s="40">
        <v>3550.4</v>
      </c>
      <c r="H498" s="40">
        <v>4024.8</v>
      </c>
      <c r="I498" s="40">
        <v>7104</v>
      </c>
      <c r="J498" s="75"/>
      <c r="K498" s="68"/>
      <c r="L498" s="68"/>
      <c r="M498" s="69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</row>
    <row r="499" spans="1:29" ht="20.25" customHeight="1">
      <c r="A499" s="63" t="s">
        <v>106</v>
      </c>
      <c r="B499" s="51">
        <v>807</v>
      </c>
      <c r="C499" s="52"/>
      <c r="D499" s="52"/>
      <c r="E499" s="52"/>
      <c r="F499" s="52"/>
      <c r="G499" s="40">
        <f>SUM(G500,G519,G529,G534)</f>
        <v>94857.09999999999</v>
      </c>
      <c r="H499" s="40">
        <f>SUM(H500,H519,H529,H534)</f>
        <v>94240.6</v>
      </c>
      <c r="I499" s="40">
        <f>SUM(I500,I519,I529,I534)</f>
        <v>84454.8</v>
      </c>
      <c r="J499" s="75"/>
      <c r="K499" s="68"/>
      <c r="L499" s="68"/>
      <c r="M499" s="69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</row>
    <row r="500" spans="1:29" ht="19.5" customHeight="1">
      <c r="A500" s="79" t="s">
        <v>15</v>
      </c>
      <c r="B500" s="51">
        <v>807</v>
      </c>
      <c r="C500" s="52" t="s">
        <v>807</v>
      </c>
      <c r="D500" s="52"/>
      <c r="E500" s="52"/>
      <c r="F500" s="52"/>
      <c r="G500" s="40">
        <f>SUM(G501,G508,G512)</f>
        <v>67982.09999999999</v>
      </c>
      <c r="H500" s="40">
        <f>SUM(H501,H508,H512)</f>
        <v>76550.6</v>
      </c>
      <c r="I500" s="40">
        <f>SUM(I501,I508,I512)</f>
        <v>76561.8</v>
      </c>
      <c r="J500" s="75"/>
      <c r="K500" s="68"/>
      <c r="L500" s="68"/>
      <c r="M500" s="69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</row>
    <row r="501" spans="1:29" ht="36.75" customHeight="1">
      <c r="A501" s="85" t="s">
        <v>639</v>
      </c>
      <c r="B501" s="51">
        <v>807</v>
      </c>
      <c r="C501" s="52" t="s">
        <v>807</v>
      </c>
      <c r="D501" s="52" t="s">
        <v>811</v>
      </c>
      <c r="E501" s="52"/>
      <c r="F501" s="52"/>
      <c r="G501" s="40">
        <f>SUM(G502,G505)</f>
        <v>26238.7</v>
      </c>
      <c r="H501" s="40">
        <f>SUM(H502,H505)</f>
        <v>26250.6</v>
      </c>
      <c r="I501" s="40">
        <f>SUM(I502,I505)</f>
        <v>26261.8</v>
      </c>
      <c r="J501" s="75"/>
      <c r="K501" s="68"/>
      <c r="L501" s="68"/>
      <c r="M501" s="69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</row>
    <row r="502" spans="1:29" ht="34.5" customHeight="1">
      <c r="A502" s="81" t="s">
        <v>42</v>
      </c>
      <c r="B502" s="51">
        <v>807</v>
      </c>
      <c r="C502" s="52" t="s">
        <v>807</v>
      </c>
      <c r="D502" s="52" t="s">
        <v>811</v>
      </c>
      <c r="E502" s="52" t="s">
        <v>43</v>
      </c>
      <c r="F502" s="52"/>
      <c r="G502" s="40">
        <f aca="true" t="shared" si="49" ref="G502:I503">SUM(G503)</f>
        <v>25995.3</v>
      </c>
      <c r="H502" s="40">
        <f t="shared" si="49"/>
        <v>26020.1</v>
      </c>
      <c r="I502" s="40">
        <f t="shared" si="49"/>
        <v>26031.3</v>
      </c>
      <c r="J502" s="75"/>
      <c r="K502" s="68"/>
      <c r="L502" s="68"/>
      <c r="M502" s="69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</row>
    <row r="503" spans="1:29" ht="18.75" customHeight="1">
      <c r="A503" s="81" t="s">
        <v>47</v>
      </c>
      <c r="B503" s="51">
        <v>807</v>
      </c>
      <c r="C503" s="52" t="s">
        <v>807</v>
      </c>
      <c r="D503" s="52" t="s">
        <v>811</v>
      </c>
      <c r="E503" s="52" t="s">
        <v>45</v>
      </c>
      <c r="F503" s="52"/>
      <c r="G503" s="40">
        <f t="shared" si="49"/>
        <v>25995.3</v>
      </c>
      <c r="H503" s="40">
        <f t="shared" si="49"/>
        <v>26020.1</v>
      </c>
      <c r="I503" s="40">
        <f t="shared" si="49"/>
        <v>26031.3</v>
      </c>
      <c r="J503" s="75"/>
      <c r="K503" s="68"/>
      <c r="L503" s="68"/>
      <c r="M503" s="69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</row>
    <row r="504" spans="1:29" ht="18.75" customHeight="1">
      <c r="A504" s="82" t="s">
        <v>361</v>
      </c>
      <c r="B504" s="51">
        <v>807</v>
      </c>
      <c r="C504" s="52" t="s">
        <v>807</v>
      </c>
      <c r="D504" s="52" t="s">
        <v>811</v>
      </c>
      <c r="E504" s="52" t="s">
        <v>45</v>
      </c>
      <c r="F504" s="52" t="s">
        <v>214</v>
      </c>
      <c r="G504" s="40">
        <f>24820.6+1174.7</f>
        <v>25995.3</v>
      </c>
      <c r="H504" s="40">
        <f>24832.5+1187.6</f>
        <v>26020.1</v>
      </c>
      <c r="I504" s="40">
        <f>24843.7+1187.6</f>
        <v>26031.3</v>
      </c>
      <c r="J504" s="75"/>
      <c r="K504" s="68"/>
      <c r="L504" s="68"/>
      <c r="M504" s="69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</row>
    <row r="505" spans="1:29" ht="18.75" customHeight="1">
      <c r="A505" s="82" t="s">
        <v>29</v>
      </c>
      <c r="B505" s="51">
        <v>807</v>
      </c>
      <c r="C505" s="52" t="s">
        <v>807</v>
      </c>
      <c r="D505" s="52" t="s">
        <v>811</v>
      </c>
      <c r="E505" s="52" t="s">
        <v>30</v>
      </c>
      <c r="F505" s="52"/>
      <c r="G505" s="40">
        <f aca="true" t="shared" si="50" ref="G505:I506">G506</f>
        <v>243.4</v>
      </c>
      <c r="H505" s="40">
        <f t="shared" si="50"/>
        <v>230.5</v>
      </c>
      <c r="I505" s="40">
        <f t="shared" si="50"/>
        <v>230.5</v>
      </c>
      <c r="J505" s="75"/>
      <c r="K505" s="68"/>
      <c r="L505" s="68"/>
      <c r="M505" s="69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</row>
    <row r="506" spans="1:29" ht="37.5" customHeight="1">
      <c r="A506" s="105" t="s">
        <v>335</v>
      </c>
      <c r="B506" s="51">
        <v>807</v>
      </c>
      <c r="C506" s="52" t="s">
        <v>807</v>
      </c>
      <c r="D506" s="52" t="s">
        <v>811</v>
      </c>
      <c r="E506" s="52" t="s">
        <v>348</v>
      </c>
      <c r="F506" s="52"/>
      <c r="G506" s="40">
        <f t="shared" si="50"/>
        <v>243.4</v>
      </c>
      <c r="H506" s="40">
        <f t="shared" si="50"/>
        <v>230.5</v>
      </c>
      <c r="I506" s="40">
        <f t="shared" si="50"/>
        <v>230.5</v>
      </c>
      <c r="J506" s="75"/>
      <c r="K506" s="68"/>
      <c r="L506" s="68"/>
      <c r="M506" s="69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</row>
    <row r="507" spans="1:29" ht="18.75" customHeight="1">
      <c r="A507" s="105" t="s">
        <v>152</v>
      </c>
      <c r="B507" s="51">
        <v>807</v>
      </c>
      <c r="C507" s="52" t="s">
        <v>807</v>
      </c>
      <c r="D507" s="52" t="s">
        <v>811</v>
      </c>
      <c r="E507" s="52" t="s">
        <v>348</v>
      </c>
      <c r="F507" s="52" t="s">
        <v>212</v>
      </c>
      <c r="G507" s="40">
        <v>243.4</v>
      </c>
      <c r="H507" s="40">
        <v>230.5</v>
      </c>
      <c r="I507" s="40">
        <v>230.5</v>
      </c>
      <c r="J507" s="75"/>
      <c r="K507" s="68"/>
      <c r="L507" s="68"/>
      <c r="M507" s="69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</row>
    <row r="508" spans="1:29" ht="20.25" customHeight="1">
      <c r="A508" s="85" t="s">
        <v>209</v>
      </c>
      <c r="B508" s="51">
        <v>807</v>
      </c>
      <c r="C508" s="52" t="s">
        <v>807</v>
      </c>
      <c r="D508" s="52" t="s">
        <v>62</v>
      </c>
      <c r="E508" s="52"/>
      <c r="F508" s="52"/>
      <c r="G508" s="40">
        <f>SUM(G509)</f>
        <v>41443.399999999994</v>
      </c>
      <c r="H508" s="40">
        <f aca="true" t="shared" si="51" ref="H508:I510">SUM(H509)</f>
        <v>50000</v>
      </c>
      <c r="I508" s="40">
        <f t="shared" si="51"/>
        <v>50000</v>
      </c>
      <c r="J508" s="75"/>
      <c r="K508" s="68"/>
      <c r="L508" s="68"/>
      <c r="M508" s="69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</row>
    <row r="509" spans="1:29" ht="18.75" customHeight="1">
      <c r="A509" s="85" t="s">
        <v>325</v>
      </c>
      <c r="B509" s="51">
        <v>807</v>
      </c>
      <c r="C509" s="52" t="s">
        <v>807</v>
      </c>
      <c r="D509" s="52" t="s">
        <v>62</v>
      </c>
      <c r="E509" s="52" t="s">
        <v>324</v>
      </c>
      <c r="F509" s="52"/>
      <c r="G509" s="40">
        <f>SUM(G510)</f>
        <v>41443.399999999994</v>
      </c>
      <c r="H509" s="40">
        <f t="shared" si="51"/>
        <v>50000</v>
      </c>
      <c r="I509" s="40">
        <f t="shared" si="51"/>
        <v>50000</v>
      </c>
      <c r="J509" s="75"/>
      <c r="K509" s="68"/>
      <c r="L509" s="68"/>
      <c r="M509" s="69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</row>
    <row r="510" spans="1:29" ht="19.5" customHeight="1">
      <c r="A510" s="85" t="s">
        <v>535</v>
      </c>
      <c r="B510" s="51">
        <v>807</v>
      </c>
      <c r="C510" s="52" t="s">
        <v>807</v>
      </c>
      <c r="D510" s="52" t="s">
        <v>62</v>
      </c>
      <c r="E510" s="52" t="s">
        <v>536</v>
      </c>
      <c r="F510" s="52"/>
      <c r="G510" s="40">
        <f>SUM(G511)</f>
        <v>41443.399999999994</v>
      </c>
      <c r="H510" s="40">
        <f t="shared" si="51"/>
        <v>50000</v>
      </c>
      <c r="I510" s="40">
        <f t="shared" si="51"/>
        <v>50000</v>
      </c>
      <c r="J510" s="75"/>
      <c r="K510" s="68"/>
      <c r="L510" s="68"/>
      <c r="M510" s="69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</row>
    <row r="511" spans="1:29" ht="19.5" customHeight="1">
      <c r="A511" s="85" t="s">
        <v>560</v>
      </c>
      <c r="B511" s="51">
        <v>807</v>
      </c>
      <c r="C511" s="52" t="s">
        <v>807</v>
      </c>
      <c r="D511" s="52" t="s">
        <v>62</v>
      </c>
      <c r="E511" s="52" t="s">
        <v>536</v>
      </c>
      <c r="F511" s="52" t="s">
        <v>559</v>
      </c>
      <c r="G511" s="40">
        <f>18005.1+7742.6+921.8+375.2+14352.6+46.1</f>
        <v>41443.399999999994</v>
      </c>
      <c r="H511" s="40">
        <f>50000</f>
        <v>50000</v>
      </c>
      <c r="I511" s="40">
        <f>50000</f>
        <v>50000</v>
      </c>
      <c r="J511" s="75"/>
      <c r="K511" s="68"/>
      <c r="L511" s="68"/>
      <c r="M511" s="69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</row>
    <row r="512" spans="1:29" ht="18.75" customHeight="1">
      <c r="A512" s="85" t="s">
        <v>327</v>
      </c>
      <c r="B512" s="51">
        <v>807</v>
      </c>
      <c r="C512" s="52" t="s">
        <v>807</v>
      </c>
      <c r="D512" s="52" t="s">
        <v>508</v>
      </c>
      <c r="E512" s="52"/>
      <c r="F512" s="52"/>
      <c r="G512" s="40">
        <f>SUM(G513,G516)</f>
        <v>300</v>
      </c>
      <c r="H512" s="40">
        <f>SUM(H513,H516)</f>
        <v>300</v>
      </c>
      <c r="I512" s="40">
        <f>SUM(I513,I516)</f>
        <v>300</v>
      </c>
      <c r="J512" s="75"/>
      <c r="K512" s="68"/>
      <c r="L512" s="68"/>
      <c r="M512" s="69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</row>
    <row r="513" spans="1:29" ht="19.5" customHeight="1">
      <c r="A513" s="86" t="s">
        <v>20</v>
      </c>
      <c r="B513" s="51">
        <v>807</v>
      </c>
      <c r="C513" s="52" t="s">
        <v>807</v>
      </c>
      <c r="D513" s="52" t="s">
        <v>508</v>
      </c>
      <c r="E513" s="52" t="s">
        <v>357</v>
      </c>
      <c r="F513" s="52"/>
      <c r="G513" s="40">
        <f>SUM(G515)</f>
        <v>300</v>
      </c>
      <c r="H513" s="40">
        <f>SUM(H515)</f>
        <v>300</v>
      </c>
      <c r="I513" s="40">
        <f>SUM(I515)</f>
        <v>300</v>
      </c>
      <c r="J513" s="75"/>
      <c r="K513" s="68"/>
      <c r="L513" s="68"/>
      <c r="M513" s="69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</row>
    <row r="514" spans="1:29" ht="18.75" customHeight="1">
      <c r="A514" s="81" t="s">
        <v>21</v>
      </c>
      <c r="B514" s="51">
        <v>807</v>
      </c>
      <c r="C514" s="52" t="s">
        <v>807</v>
      </c>
      <c r="D514" s="52" t="s">
        <v>508</v>
      </c>
      <c r="E514" s="52" t="s">
        <v>413</v>
      </c>
      <c r="F514" s="52"/>
      <c r="G514" s="40">
        <f>SUM(G515)</f>
        <v>300</v>
      </c>
      <c r="H514" s="40">
        <f>SUM(H515)</f>
        <v>300</v>
      </c>
      <c r="I514" s="40">
        <f>SUM(I515)</f>
        <v>300</v>
      </c>
      <c r="J514" s="75"/>
      <c r="K514" s="68"/>
      <c r="L514" s="68"/>
      <c r="M514" s="69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</row>
    <row r="515" spans="1:29" ht="18" customHeight="1">
      <c r="A515" s="82" t="s">
        <v>361</v>
      </c>
      <c r="B515" s="51">
        <v>807</v>
      </c>
      <c r="C515" s="52" t="s">
        <v>807</v>
      </c>
      <c r="D515" s="52" t="s">
        <v>508</v>
      </c>
      <c r="E515" s="52" t="s">
        <v>413</v>
      </c>
      <c r="F515" s="52" t="s">
        <v>214</v>
      </c>
      <c r="G515" s="40">
        <v>300</v>
      </c>
      <c r="H515" s="40">
        <v>300</v>
      </c>
      <c r="I515" s="40">
        <v>300</v>
      </c>
      <c r="J515" s="75"/>
      <c r="K515" s="68"/>
      <c r="L515" s="68"/>
      <c r="M515" s="69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</row>
    <row r="516" spans="1:29" ht="18" customHeight="1" hidden="1">
      <c r="A516" s="82" t="s">
        <v>29</v>
      </c>
      <c r="B516" s="51">
        <v>807</v>
      </c>
      <c r="C516" s="52" t="s">
        <v>807</v>
      </c>
      <c r="D516" s="52" t="s">
        <v>508</v>
      </c>
      <c r="E516" s="52" t="s">
        <v>30</v>
      </c>
      <c r="F516" s="52"/>
      <c r="G516" s="40">
        <f aca="true" t="shared" si="52" ref="G516:I517">G517</f>
        <v>0</v>
      </c>
      <c r="H516" s="40">
        <f t="shared" si="52"/>
        <v>0</v>
      </c>
      <c r="I516" s="40">
        <f t="shared" si="52"/>
        <v>0</v>
      </c>
      <c r="J516" s="75"/>
      <c r="K516" s="68"/>
      <c r="L516" s="68"/>
      <c r="M516" s="69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</row>
    <row r="517" spans="1:29" ht="32.25" customHeight="1" hidden="1">
      <c r="A517" s="105" t="s">
        <v>335</v>
      </c>
      <c r="B517" s="51">
        <v>807</v>
      </c>
      <c r="C517" s="52" t="s">
        <v>807</v>
      </c>
      <c r="D517" s="52" t="s">
        <v>508</v>
      </c>
      <c r="E517" s="52" t="s">
        <v>348</v>
      </c>
      <c r="F517" s="52"/>
      <c r="G517" s="40">
        <f t="shared" si="52"/>
        <v>0</v>
      </c>
      <c r="H517" s="40">
        <f t="shared" si="52"/>
        <v>0</v>
      </c>
      <c r="I517" s="40">
        <f t="shared" si="52"/>
        <v>0</v>
      </c>
      <c r="J517" s="75"/>
      <c r="K517" s="68"/>
      <c r="L517" s="68"/>
      <c r="M517" s="69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</row>
    <row r="518" spans="1:29" ht="18" customHeight="1" hidden="1">
      <c r="A518" s="105" t="s">
        <v>152</v>
      </c>
      <c r="B518" s="51">
        <v>807</v>
      </c>
      <c r="C518" s="52" t="s">
        <v>807</v>
      </c>
      <c r="D518" s="52" t="s">
        <v>508</v>
      </c>
      <c r="E518" s="52" t="s">
        <v>348</v>
      </c>
      <c r="F518" s="52" t="s">
        <v>212</v>
      </c>
      <c r="G518" s="40"/>
      <c r="H518" s="40"/>
      <c r="I518" s="40"/>
      <c r="J518" s="75"/>
      <c r="K518" s="68"/>
      <c r="L518" s="68"/>
      <c r="M518" s="69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</row>
    <row r="519" spans="1:29" ht="18" customHeight="1" hidden="1">
      <c r="A519" s="63" t="s">
        <v>432</v>
      </c>
      <c r="B519" s="51">
        <v>807</v>
      </c>
      <c r="C519" s="52" t="s">
        <v>810</v>
      </c>
      <c r="D519" s="52"/>
      <c r="E519" s="52"/>
      <c r="F519" s="52"/>
      <c r="G519" s="40">
        <f>G520</f>
        <v>0</v>
      </c>
      <c r="H519" s="40">
        <f>H520</f>
        <v>0</v>
      </c>
      <c r="I519" s="40">
        <f>I520</f>
        <v>0</v>
      </c>
      <c r="J519" s="75"/>
      <c r="K519" s="68"/>
      <c r="L519" s="68"/>
      <c r="M519" s="69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</row>
    <row r="520" spans="1:29" ht="18" customHeight="1" hidden="1">
      <c r="A520" s="82" t="s">
        <v>773</v>
      </c>
      <c r="B520" s="51">
        <v>807</v>
      </c>
      <c r="C520" s="52" t="s">
        <v>810</v>
      </c>
      <c r="D520" s="52" t="s">
        <v>807</v>
      </c>
      <c r="E520" s="52"/>
      <c r="F520" s="52"/>
      <c r="G520" s="40">
        <f>G521+G526</f>
        <v>0</v>
      </c>
      <c r="H520" s="40">
        <f>H521+H526</f>
        <v>0</v>
      </c>
      <c r="I520" s="40">
        <f>I521+I526</f>
        <v>0</v>
      </c>
      <c r="J520" s="75"/>
      <c r="K520" s="68"/>
      <c r="L520" s="68"/>
      <c r="M520" s="69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</row>
    <row r="521" spans="1:29" ht="18" customHeight="1" hidden="1">
      <c r="A521" s="82" t="s">
        <v>775</v>
      </c>
      <c r="B521" s="51">
        <v>807</v>
      </c>
      <c r="C521" s="52" t="s">
        <v>810</v>
      </c>
      <c r="D521" s="52" t="s">
        <v>807</v>
      </c>
      <c r="E521" s="52" t="s">
        <v>774</v>
      </c>
      <c r="F521" s="52"/>
      <c r="G521" s="40">
        <f>G522+G524</f>
        <v>0</v>
      </c>
      <c r="H521" s="40">
        <f>H522+H524</f>
        <v>0</v>
      </c>
      <c r="I521" s="40">
        <f>I522+I524</f>
        <v>0</v>
      </c>
      <c r="J521" s="75"/>
      <c r="K521" s="68"/>
      <c r="L521" s="68"/>
      <c r="M521" s="69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</row>
    <row r="522" spans="1:29" ht="18" customHeight="1" hidden="1">
      <c r="A522" s="82" t="s">
        <v>777</v>
      </c>
      <c r="B522" s="51">
        <v>807</v>
      </c>
      <c r="C522" s="52" t="s">
        <v>810</v>
      </c>
      <c r="D522" s="52" t="s">
        <v>807</v>
      </c>
      <c r="E522" s="52" t="s">
        <v>776</v>
      </c>
      <c r="F522" s="52"/>
      <c r="G522" s="40">
        <f>G523</f>
        <v>0</v>
      </c>
      <c r="H522" s="40">
        <f>H523</f>
        <v>0</v>
      </c>
      <c r="I522" s="40">
        <f>I523</f>
        <v>0</v>
      </c>
      <c r="J522" s="75"/>
      <c r="K522" s="68"/>
      <c r="L522" s="68"/>
      <c r="M522" s="69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</row>
    <row r="523" spans="1:29" ht="18" customHeight="1" hidden="1">
      <c r="A523" s="81" t="s">
        <v>13</v>
      </c>
      <c r="B523" s="51">
        <v>807</v>
      </c>
      <c r="C523" s="52" t="s">
        <v>810</v>
      </c>
      <c r="D523" s="52" t="s">
        <v>807</v>
      </c>
      <c r="E523" s="52" t="s">
        <v>776</v>
      </c>
      <c r="F523" s="52" t="s">
        <v>572</v>
      </c>
      <c r="G523" s="40"/>
      <c r="H523" s="40"/>
      <c r="I523" s="40"/>
      <c r="J523" s="75"/>
      <c r="K523" s="68"/>
      <c r="L523" s="68"/>
      <c r="M523" s="69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</row>
    <row r="524" spans="1:29" ht="37.5" customHeight="1" hidden="1">
      <c r="A524" s="81" t="s">
        <v>600</v>
      </c>
      <c r="B524" s="51">
        <v>807</v>
      </c>
      <c r="C524" s="52" t="s">
        <v>810</v>
      </c>
      <c r="D524" s="52" t="s">
        <v>807</v>
      </c>
      <c r="E524" s="52" t="s">
        <v>596</v>
      </c>
      <c r="F524" s="52"/>
      <c r="G524" s="40">
        <f>SUM(G525)</f>
        <v>0</v>
      </c>
      <c r="H524" s="40">
        <f>SUM(H525)</f>
        <v>0</v>
      </c>
      <c r="I524" s="40">
        <f>SUM(I525)</f>
        <v>0</v>
      </c>
      <c r="J524" s="75"/>
      <c r="K524" s="68"/>
      <c r="L524" s="68"/>
      <c r="M524" s="69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</row>
    <row r="525" spans="1:29" ht="18.75" customHeight="1" hidden="1">
      <c r="A525" s="81" t="s">
        <v>13</v>
      </c>
      <c r="B525" s="51">
        <v>807</v>
      </c>
      <c r="C525" s="52" t="s">
        <v>810</v>
      </c>
      <c r="D525" s="52" t="s">
        <v>807</v>
      </c>
      <c r="E525" s="52" t="s">
        <v>596</v>
      </c>
      <c r="F525" s="52" t="s">
        <v>572</v>
      </c>
      <c r="G525" s="40"/>
      <c r="H525" s="40"/>
      <c r="I525" s="40"/>
      <c r="J525" s="75"/>
      <c r="K525" s="68"/>
      <c r="L525" s="68"/>
      <c r="M525" s="69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</row>
    <row r="526" spans="1:29" ht="18.75" customHeight="1" hidden="1">
      <c r="A526" s="81" t="s">
        <v>297</v>
      </c>
      <c r="B526" s="51">
        <v>807</v>
      </c>
      <c r="C526" s="52" t="s">
        <v>810</v>
      </c>
      <c r="D526" s="52" t="s">
        <v>807</v>
      </c>
      <c r="E526" s="52" t="s">
        <v>395</v>
      </c>
      <c r="F526" s="52"/>
      <c r="G526" s="40">
        <f aca="true" t="shared" si="53" ref="G526:I527">SUM(G527)</f>
        <v>0</v>
      </c>
      <c r="H526" s="40">
        <f t="shared" si="53"/>
        <v>0</v>
      </c>
      <c r="I526" s="40">
        <f t="shared" si="53"/>
        <v>0</v>
      </c>
      <c r="J526" s="75"/>
      <c r="K526" s="68"/>
      <c r="L526" s="68"/>
      <c r="M526" s="69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</row>
    <row r="527" spans="1:29" ht="39" customHeight="1" hidden="1">
      <c r="A527" s="81" t="s">
        <v>598</v>
      </c>
      <c r="B527" s="51">
        <v>807</v>
      </c>
      <c r="C527" s="52" t="s">
        <v>810</v>
      </c>
      <c r="D527" s="52" t="s">
        <v>807</v>
      </c>
      <c r="E527" s="52" t="s">
        <v>601</v>
      </c>
      <c r="F527" s="52"/>
      <c r="G527" s="40">
        <f t="shared" si="53"/>
        <v>0</v>
      </c>
      <c r="H527" s="40">
        <f t="shared" si="53"/>
        <v>0</v>
      </c>
      <c r="I527" s="40">
        <f t="shared" si="53"/>
        <v>0</v>
      </c>
      <c r="J527" s="75"/>
      <c r="K527" s="68"/>
      <c r="L527" s="68"/>
      <c r="M527" s="69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</row>
    <row r="528" spans="1:29" ht="18.75" customHeight="1" hidden="1">
      <c r="A528" s="81" t="s">
        <v>13</v>
      </c>
      <c r="B528" s="51">
        <v>807</v>
      </c>
      <c r="C528" s="52" t="s">
        <v>810</v>
      </c>
      <c r="D528" s="52" t="s">
        <v>807</v>
      </c>
      <c r="E528" s="52" t="s">
        <v>601</v>
      </c>
      <c r="F528" s="52" t="s">
        <v>572</v>
      </c>
      <c r="G528" s="40"/>
      <c r="H528" s="40"/>
      <c r="I528" s="40"/>
      <c r="J528" s="75"/>
      <c r="K528" s="68"/>
      <c r="L528" s="68"/>
      <c r="M528" s="69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</row>
    <row r="529" spans="1:29" ht="18.75" customHeight="1" hidden="1">
      <c r="A529" s="85" t="s">
        <v>378</v>
      </c>
      <c r="B529" s="51">
        <v>807</v>
      </c>
      <c r="C529" s="52" t="s">
        <v>529</v>
      </c>
      <c r="D529" s="52"/>
      <c r="E529" s="52"/>
      <c r="F529" s="52"/>
      <c r="G529" s="40">
        <f>G530</f>
        <v>0</v>
      </c>
      <c r="H529" s="40">
        <f aca="true" t="shared" si="54" ref="H529:I532">H530</f>
        <v>0</v>
      </c>
      <c r="I529" s="40">
        <f t="shared" si="54"/>
        <v>0</v>
      </c>
      <c r="J529" s="75"/>
      <c r="K529" s="68"/>
      <c r="L529" s="68"/>
      <c r="M529" s="69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</row>
    <row r="530" spans="1:29" ht="18.75" customHeight="1" hidden="1">
      <c r="A530" s="85" t="s">
        <v>250</v>
      </c>
      <c r="B530" s="51">
        <v>807</v>
      </c>
      <c r="C530" s="52" t="s">
        <v>529</v>
      </c>
      <c r="D530" s="52" t="s">
        <v>529</v>
      </c>
      <c r="E530" s="52"/>
      <c r="F530" s="52"/>
      <c r="G530" s="40">
        <f>G531</f>
        <v>0</v>
      </c>
      <c r="H530" s="40">
        <f t="shared" si="54"/>
        <v>0</v>
      </c>
      <c r="I530" s="40">
        <f t="shared" si="54"/>
        <v>0</v>
      </c>
      <c r="J530" s="75"/>
      <c r="K530" s="68"/>
      <c r="L530" s="68"/>
      <c r="M530" s="69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</row>
    <row r="531" spans="1:29" ht="18.75" customHeight="1" hidden="1">
      <c r="A531" s="81" t="s">
        <v>226</v>
      </c>
      <c r="B531" s="51">
        <v>807</v>
      </c>
      <c r="C531" s="52" t="s">
        <v>529</v>
      </c>
      <c r="D531" s="52" t="s">
        <v>529</v>
      </c>
      <c r="E531" s="52" t="s">
        <v>494</v>
      </c>
      <c r="F531" s="52"/>
      <c r="G531" s="40">
        <f>G532</f>
        <v>0</v>
      </c>
      <c r="H531" s="40">
        <f t="shared" si="54"/>
        <v>0</v>
      </c>
      <c r="I531" s="40">
        <f t="shared" si="54"/>
        <v>0</v>
      </c>
      <c r="J531" s="75"/>
      <c r="K531" s="68"/>
      <c r="L531" s="68"/>
      <c r="M531" s="69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</row>
    <row r="532" spans="1:29" ht="18.75" customHeight="1" hidden="1">
      <c r="A532" s="86" t="s">
        <v>323</v>
      </c>
      <c r="B532" s="51">
        <v>807</v>
      </c>
      <c r="C532" s="52" t="s">
        <v>529</v>
      </c>
      <c r="D532" s="52" t="s">
        <v>529</v>
      </c>
      <c r="E532" s="52" t="s">
        <v>537</v>
      </c>
      <c r="F532" s="52"/>
      <c r="G532" s="40">
        <f>G533</f>
        <v>0</v>
      </c>
      <c r="H532" s="40">
        <f t="shared" si="54"/>
        <v>0</v>
      </c>
      <c r="I532" s="40">
        <f t="shared" si="54"/>
        <v>0</v>
      </c>
      <c r="J532" s="75"/>
      <c r="K532" s="68"/>
      <c r="L532" s="68"/>
      <c r="M532" s="69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</row>
    <row r="533" spans="1:29" ht="18.75" customHeight="1" hidden="1">
      <c r="A533" s="85" t="s">
        <v>560</v>
      </c>
      <c r="B533" s="51">
        <v>807</v>
      </c>
      <c r="C533" s="52" t="s">
        <v>529</v>
      </c>
      <c r="D533" s="52" t="s">
        <v>529</v>
      </c>
      <c r="E533" s="52" t="s">
        <v>537</v>
      </c>
      <c r="F533" s="52" t="s">
        <v>559</v>
      </c>
      <c r="G533" s="40"/>
      <c r="H533" s="40"/>
      <c r="I533" s="40"/>
      <c r="J533" s="75"/>
      <c r="K533" s="68"/>
      <c r="L533" s="68"/>
      <c r="M533" s="69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</row>
    <row r="534" spans="1:29" ht="18.75" customHeight="1">
      <c r="A534" s="85" t="s">
        <v>153</v>
      </c>
      <c r="B534" s="51">
        <v>807</v>
      </c>
      <c r="C534" s="52" t="s">
        <v>508</v>
      </c>
      <c r="D534" s="52"/>
      <c r="E534" s="52"/>
      <c r="F534" s="52"/>
      <c r="G534" s="40">
        <f>G535</f>
        <v>26875</v>
      </c>
      <c r="H534" s="40">
        <f aca="true" t="shared" si="55" ref="H534:I537">H535</f>
        <v>17690</v>
      </c>
      <c r="I534" s="40">
        <f t="shared" si="55"/>
        <v>7893</v>
      </c>
      <c r="J534" s="75"/>
      <c r="K534" s="68"/>
      <c r="L534" s="68"/>
      <c r="M534" s="69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</row>
    <row r="535" spans="1:29" ht="18.75" customHeight="1">
      <c r="A535" s="85" t="s">
        <v>234</v>
      </c>
      <c r="B535" s="51">
        <v>807</v>
      </c>
      <c r="C535" s="52" t="s">
        <v>508</v>
      </c>
      <c r="D535" s="52" t="s">
        <v>807</v>
      </c>
      <c r="E535" s="52"/>
      <c r="F535" s="52"/>
      <c r="G535" s="40">
        <f>G536</f>
        <v>26875</v>
      </c>
      <c r="H535" s="40">
        <f t="shared" si="55"/>
        <v>17690</v>
      </c>
      <c r="I535" s="40">
        <f t="shared" si="55"/>
        <v>7893</v>
      </c>
      <c r="J535" s="75"/>
      <c r="K535" s="68"/>
      <c r="L535" s="68"/>
      <c r="M535" s="69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</row>
    <row r="536" spans="1:29" ht="18.75" customHeight="1">
      <c r="A536" s="85" t="s">
        <v>564</v>
      </c>
      <c r="B536" s="51">
        <v>807</v>
      </c>
      <c r="C536" s="52" t="s">
        <v>508</v>
      </c>
      <c r="D536" s="52" t="s">
        <v>807</v>
      </c>
      <c r="E536" s="52" t="s">
        <v>154</v>
      </c>
      <c r="F536" s="52"/>
      <c r="G536" s="40">
        <f>G537</f>
        <v>26875</v>
      </c>
      <c r="H536" s="40">
        <f t="shared" si="55"/>
        <v>17690</v>
      </c>
      <c r="I536" s="40">
        <f t="shared" si="55"/>
        <v>7893</v>
      </c>
      <c r="J536" s="75"/>
      <c r="K536" s="68"/>
      <c r="L536" s="68"/>
      <c r="M536" s="69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</row>
    <row r="537" spans="1:29" ht="18.75" customHeight="1">
      <c r="A537" s="81" t="s">
        <v>156</v>
      </c>
      <c r="B537" s="51">
        <v>807</v>
      </c>
      <c r="C537" s="52" t="s">
        <v>508</v>
      </c>
      <c r="D537" s="52" t="s">
        <v>807</v>
      </c>
      <c r="E537" s="52" t="s">
        <v>155</v>
      </c>
      <c r="F537" s="52"/>
      <c r="G537" s="40">
        <f>G538</f>
        <v>26875</v>
      </c>
      <c r="H537" s="40">
        <f t="shared" si="55"/>
        <v>17690</v>
      </c>
      <c r="I537" s="40">
        <f t="shared" si="55"/>
        <v>7893</v>
      </c>
      <c r="J537" s="75"/>
      <c r="K537" s="68"/>
      <c r="L537" s="68"/>
      <c r="M537" s="69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</row>
    <row r="538" spans="1:29" ht="18.75" customHeight="1">
      <c r="A538" s="85" t="s">
        <v>157</v>
      </c>
      <c r="B538" s="51">
        <v>807</v>
      </c>
      <c r="C538" s="52" t="s">
        <v>508</v>
      </c>
      <c r="D538" s="52" t="s">
        <v>807</v>
      </c>
      <c r="E538" s="52" t="s">
        <v>155</v>
      </c>
      <c r="F538" s="52" t="s">
        <v>559</v>
      </c>
      <c r="G538" s="40">
        <v>26875</v>
      </c>
      <c r="H538" s="40">
        <v>17690</v>
      </c>
      <c r="I538" s="40">
        <v>7893</v>
      </c>
      <c r="J538" s="75"/>
      <c r="K538" s="68"/>
      <c r="L538" s="68"/>
      <c r="M538" s="69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</row>
    <row r="539" spans="1:29" s="89" customFormat="1" ht="19.5" customHeight="1">
      <c r="A539" s="63" t="s">
        <v>549</v>
      </c>
      <c r="B539" s="51">
        <v>808</v>
      </c>
      <c r="C539" s="52"/>
      <c r="D539" s="52"/>
      <c r="E539" s="52"/>
      <c r="F539" s="52"/>
      <c r="G539" s="40">
        <f>SUM(G555,G574,G545,G540,G627)</f>
        <v>265091.30000000005</v>
      </c>
      <c r="H539" s="40">
        <f>SUM(H555,H574,H545,H540)</f>
        <v>244068.10000000003</v>
      </c>
      <c r="I539" s="40">
        <f>SUM(I555,I574,I545,I540)</f>
        <v>247968.4</v>
      </c>
      <c r="J539" s="75"/>
      <c r="K539" s="97"/>
      <c r="L539" s="68"/>
      <c r="M539" s="69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</row>
    <row r="540" spans="1:13" s="68" customFormat="1" ht="19.5" customHeight="1" hidden="1">
      <c r="A540" s="79" t="s">
        <v>15</v>
      </c>
      <c r="B540" s="51">
        <v>808</v>
      </c>
      <c r="C540" s="52" t="s">
        <v>807</v>
      </c>
      <c r="D540" s="52"/>
      <c r="E540" s="52"/>
      <c r="F540" s="52"/>
      <c r="G540" s="40">
        <f>G541</f>
        <v>0</v>
      </c>
      <c r="H540" s="40">
        <f aca="true" t="shared" si="56" ref="H540:I543">H541</f>
        <v>0</v>
      </c>
      <c r="I540" s="40">
        <f t="shared" si="56"/>
        <v>0</v>
      </c>
      <c r="J540" s="75"/>
      <c r="K540" s="97"/>
      <c r="M540" s="69"/>
    </row>
    <row r="541" spans="1:13" s="68" customFormat="1" ht="19.5" customHeight="1" hidden="1">
      <c r="A541" s="85" t="s">
        <v>327</v>
      </c>
      <c r="B541" s="51">
        <v>808</v>
      </c>
      <c r="C541" s="52" t="s">
        <v>807</v>
      </c>
      <c r="D541" s="52" t="s">
        <v>508</v>
      </c>
      <c r="E541" s="52"/>
      <c r="F541" s="52"/>
      <c r="G541" s="40">
        <f>G542</f>
        <v>0</v>
      </c>
      <c r="H541" s="40">
        <f t="shared" si="56"/>
        <v>0</v>
      </c>
      <c r="I541" s="40">
        <f t="shared" si="56"/>
        <v>0</v>
      </c>
      <c r="J541" s="75"/>
      <c r="K541" s="97"/>
      <c r="M541" s="69"/>
    </row>
    <row r="542" spans="1:13" s="68" customFormat="1" ht="19.5" customHeight="1" hidden="1">
      <c r="A542" s="86" t="s">
        <v>20</v>
      </c>
      <c r="B542" s="51">
        <v>808</v>
      </c>
      <c r="C542" s="52" t="s">
        <v>807</v>
      </c>
      <c r="D542" s="52" t="s">
        <v>508</v>
      </c>
      <c r="E542" s="52" t="s">
        <v>357</v>
      </c>
      <c r="F542" s="52"/>
      <c r="G542" s="40">
        <f>G543</f>
        <v>0</v>
      </c>
      <c r="H542" s="40">
        <f>H543</f>
        <v>0</v>
      </c>
      <c r="I542" s="40">
        <f>I543</f>
        <v>0</v>
      </c>
      <c r="J542" s="75"/>
      <c r="K542" s="97"/>
      <c r="M542" s="69"/>
    </row>
    <row r="543" spans="1:13" s="68" customFormat="1" ht="19.5" customHeight="1" hidden="1">
      <c r="A543" s="81" t="s">
        <v>21</v>
      </c>
      <c r="B543" s="51">
        <v>808</v>
      </c>
      <c r="C543" s="52" t="s">
        <v>807</v>
      </c>
      <c r="D543" s="52" t="s">
        <v>508</v>
      </c>
      <c r="E543" s="52" t="s">
        <v>413</v>
      </c>
      <c r="F543" s="52"/>
      <c r="G543" s="40">
        <f>G544</f>
        <v>0</v>
      </c>
      <c r="H543" s="40">
        <f t="shared" si="56"/>
        <v>0</v>
      </c>
      <c r="I543" s="40">
        <f t="shared" si="56"/>
        <v>0</v>
      </c>
      <c r="J543" s="75"/>
      <c r="K543" s="97"/>
      <c r="M543" s="69"/>
    </row>
    <row r="544" spans="1:13" s="68" customFormat="1" ht="19.5" customHeight="1" hidden="1">
      <c r="A544" s="82" t="s">
        <v>361</v>
      </c>
      <c r="B544" s="51">
        <v>808</v>
      </c>
      <c r="C544" s="52" t="s">
        <v>807</v>
      </c>
      <c r="D544" s="52" t="s">
        <v>508</v>
      </c>
      <c r="E544" s="52" t="s">
        <v>413</v>
      </c>
      <c r="F544" s="52" t="s">
        <v>214</v>
      </c>
      <c r="G544" s="40"/>
      <c r="H544" s="40"/>
      <c r="I544" s="40"/>
      <c r="J544" s="75"/>
      <c r="K544" s="97"/>
      <c r="M544" s="69"/>
    </row>
    <row r="545" spans="1:13" s="68" customFormat="1" ht="19.5" customHeight="1" hidden="1">
      <c r="A545" s="63" t="s">
        <v>432</v>
      </c>
      <c r="B545" s="51">
        <v>808</v>
      </c>
      <c r="C545" s="52" t="s">
        <v>810</v>
      </c>
      <c r="D545" s="52"/>
      <c r="E545" s="52"/>
      <c r="F545" s="52"/>
      <c r="G545" s="40">
        <f>G546</f>
        <v>0</v>
      </c>
      <c r="H545" s="40">
        <f>H546</f>
        <v>0</v>
      </c>
      <c r="I545" s="40">
        <f>I546</f>
        <v>0</v>
      </c>
      <c r="J545" s="75"/>
      <c r="K545" s="97"/>
      <c r="M545" s="69"/>
    </row>
    <row r="546" spans="1:13" s="68" customFormat="1" ht="19.5" customHeight="1" hidden="1">
      <c r="A546" s="82" t="s">
        <v>773</v>
      </c>
      <c r="B546" s="51">
        <v>808</v>
      </c>
      <c r="C546" s="52" t="s">
        <v>810</v>
      </c>
      <c r="D546" s="52" t="s">
        <v>807</v>
      </c>
      <c r="E546" s="52"/>
      <c r="F546" s="52"/>
      <c r="G546" s="40">
        <f>G547+G552</f>
        <v>0</v>
      </c>
      <c r="H546" s="40">
        <f>H547+H552</f>
        <v>0</v>
      </c>
      <c r="I546" s="40">
        <f>I547+I552</f>
        <v>0</v>
      </c>
      <c r="J546" s="75"/>
      <c r="K546" s="97"/>
      <c r="M546" s="69"/>
    </row>
    <row r="547" spans="1:13" s="68" customFormat="1" ht="19.5" customHeight="1" hidden="1">
      <c r="A547" s="82" t="s">
        <v>775</v>
      </c>
      <c r="B547" s="51">
        <v>808</v>
      </c>
      <c r="C547" s="52" t="s">
        <v>810</v>
      </c>
      <c r="D547" s="52" t="s">
        <v>807</v>
      </c>
      <c r="E547" s="52" t="s">
        <v>774</v>
      </c>
      <c r="F547" s="52"/>
      <c r="G547" s="40">
        <f>G548+G550</f>
        <v>0</v>
      </c>
      <c r="H547" s="40">
        <f>H548+H550</f>
        <v>0</v>
      </c>
      <c r="I547" s="40">
        <f>I548+I550</f>
        <v>0</v>
      </c>
      <c r="J547" s="75"/>
      <c r="K547" s="97"/>
      <c r="M547" s="69"/>
    </row>
    <row r="548" spans="1:13" s="68" customFormat="1" ht="19.5" customHeight="1" hidden="1">
      <c r="A548" s="82" t="s">
        <v>777</v>
      </c>
      <c r="B548" s="51">
        <v>808</v>
      </c>
      <c r="C548" s="52" t="s">
        <v>810</v>
      </c>
      <c r="D548" s="52" t="s">
        <v>807</v>
      </c>
      <c r="E548" s="52" t="s">
        <v>776</v>
      </c>
      <c r="F548" s="52"/>
      <c r="G548" s="40">
        <f>G549</f>
        <v>0</v>
      </c>
      <c r="H548" s="40">
        <f>H549</f>
        <v>0</v>
      </c>
      <c r="I548" s="40">
        <f>I549</f>
        <v>0</v>
      </c>
      <c r="J548" s="75"/>
      <c r="K548" s="97"/>
      <c r="M548" s="69"/>
    </row>
    <row r="549" spans="1:13" s="68" customFormat="1" ht="19.5" customHeight="1" hidden="1">
      <c r="A549" s="81" t="s">
        <v>13</v>
      </c>
      <c r="B549" s="51">
        <v>808</v>
      </c>
      <c r="C549" s="52" t="s">
        <v>810</v>
      </c>
      <c r="D549" s="52" t="s">
        <v>807</v>
      </c>
      <c r="E549" s="52" t="s">
        <v>776</v>
      </c>
      <c r="F549" s="52" t="s">
        <v>572</v>
      </c>
      <c r="G549" s="40"/>
      <c r="H549" s="40"/>
      <c r="I549" s="40"/>
      <c r="J549" s="75"/>
      <c r="K549" s="97"/>
      <c r="M549" s="69"/>
    </row>
    <row r="550" spans="1:13" s="68" customFormat="1" ht="36" customHeight="1" hidden="1">
      <c r="A550" s="81" t="s">
        <v>597</v>
      </c>
      <c r="B550" s="51">
        <v>808</v>
      </c>
      <c r="C550" s="52" t="s">
        <v>810</v>
      </c>
      <c r="D550" s="52" t="s">
        <v>807</v>
      </c>
      <c r="E550" s="52" t="s">
        <v>596</v>
      </c>
      <c r="F550" s="52"/>
      <c r="G550" s="40">
        <f>SUM(G551)</f>
        <v>0</v>
      </c>
      <c r="H550" s="40">
        <f>SUM(H551)</f>
        <v>0</v>
      </c>
      <c r="I550" s="40">
        <f>SUM(I551)</f>
        <v>0</v>
      </c>
      <c r="J550" s="75"/>
      <c r="K550" s="97"/>
      <c r="M550" s="69"/>
    </row>
    <row r="551" spans="1:13" s="68" customFormat="1" ht="19.5" customHeight="1" hidden="1">
      <c r="A551" s="81" t="s">
        <v>13</v>
      </c>
      <c r="B551" s="51">
        <v>808</v>
      </c>
      <c r="C551" s="52" t="s">
        <v>810</v>
      </c>
      <c r="D551" s="52" t="s">
        <v>807</v>
      </c>
      <c r="E551" s="52" t="s">
        <v>596</v>
      </c>
      <c r="F551" s="52" t="s">
        <v>572</v>
      </c>
      <c r="G551" s="40"/>
      <c r="H551" s="40"/>
      <c r="I551" s="40"/>
      <c r="J551" s="75"/>
      <c r="K551" s="97"/>
      <c r="M551" s="69"/>
    </row>
    <row r="552" spans="1:13" s="68" customFormat="1" ht="19.5" customHeight="1" hidden="1">
      <c r="A552" s="81" t="s">
        <v>297</v>
      </c>
      <c r="B552" s="51">
        <v>808</v>
      </c>
      <c r="C552" s="52" t="s">
        <v>810</v>
      </c>
      <c r="D552" s="52" t="s">
        <v>807</v>
      </c>
      <c r="E552" s="52" t="s">
        <v>395</v>
      </c>
      <c r="F552" s="52"/>
      <c r="G552" s="40">
        <f aca="true" t="shared" si="57" ref="G552:I553">SUM(G553)</f>
        <v>0</v>
      </c>
      <c r="H552" s="40">
        <f t="shared" si="57"/>
        <v>0</v>
      </c>
      <c r="I552" s="40">
        <f t="shared" si="57"/>
        <v>0</v>
      </c>
      <c r="J552" s="75"/>
      <c r="K552" s="97"/>
      <c r="M552" s="69"/>
    </row>
    <row r="553" spans="1:13" s="68" customFormat="1" ht="35.25" customHeight="1" hidden="1">
      <c r="A553" s="81" t="s">
        <v>599</v>
      </c>
      <c r="B553" s="51">
        <v>808</v>
      </c>
      <c r="C553" s="52" t="s">
        <v>810</v>
      </c>
      <c r="D553" s="52" t="s">
        <v>807</v>
      </c>
      <c r="E553" s="52" t="s">
        <v>601</v>
      </c>
      <c r="F553" s="52"/>
      <c r="G553" s="40">
        <f t="shared" si="57"/>
        <v>0</v>
      </c>
      <c r="H553" s="40">
        <f t="shared" si="57"/>
        <v>0</v>
      </c>
      <c r="I553" s="40">
        <f t="shared" si="57"/>
        <v>0</v>
      </c>
      <c r="J553" s="75"/>
      <c r="K553" s="97"/>
      <c r="M553" s="69"/>
    </row>
    <row r="554" spans="1:13" s="68" customFormat="1" ht="19.5" customHeight="1" hidden="1">
      <c r="A554" s="81" t="s">
        <v>13</v>
      </c>
      <c r="B554" s="51">
        <v>808</v>
      </c>
      <c r="C554" s="52" t="s">
        <v>810</v>
      </c>
      <c r="D554" s="52" t="s">
        <v>807</v>
      </c>
      <c r="E554" s="52" t="s">
        <v>601</v>
      </c>
      <c r="F554" s="52" t="s">
        <v>572</v>
      </c>
      <c r="G554" s="40"/>
      <c r="H554" s="40"/>
      <c r="I554" s="40"/>
      <c r="J554" s="75"/>
      <c r="K554" s="97"/>
      <c r="M554" s="69"/>
    </row>
    <row r="555" spans="1:29" s="90" customFormat="1" ht="18.75" customHeight="1">
      <c r="A555" s="85" t="s">
        <v>426</v>
      </c>
      <c r="B555" s="51">
        <v>808</v>
      </c>
      <c r="C555" s="52" t="s">
        <v>529</v>
      </c>
      <c r="D555" s="52"/>
      <c r="E555" s="52"/>
      <c r="F555" s="52"/>
      <c r="G555" s="40">
        <f>SUM(G556,G562,G566)</f>
        <v>44964.8</v>
      </c>
      <c r="H555" s="40">
        <f>SUM(H556,H562,H566)</f>
        <v>43797.600000000006</v>
      </c>
      <c r="I555" s="40">
        <f>SUM(I556,I562,I566)</f>
        <v>44309.100000000006</v>
      </c>
      <c r="J555" s="75"/>
      <c r="K555" s="97"/>
      <c r="L555" s="68"/>
      <c r="M555" s="69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</row>
    <row r="556" spans="1:29" ht="18" customHeight="1">
      <c r="A556" s="85" t="s">
        <v>121</v>
      </c>
      <c r="B556" s="51">
        <v>808</v>
      </c>
      <c r="C556" s="52" t="s">
        <v>529</v>
      </c>
      <c r="D556" s="52" t="s">
        <v>808</v>
      </c>
      <c r="E556" s="52"/>
      <c r="F556" s="52"/>
      <c r="G556" s="40">
        <f>SUM(G557)</f>
        <v>44711.8</v>
      </c>
      <c r="H556" s="40">
        <f>SUM(H557)</f>
        <v>43605.600000000006</v>
      </c>
      <c r="I556" s="40">
        <f>SUM(I557)</f>
        <v>43922.100000000006</v>
      </c>
      <c r="J556" s="75"/>
      <c r="K556" s="97"/>
      <c r="L556" s="68"/>
      <c r="M556" s="69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</row>
    <row r="557" spans="1:29" ht="18" customHeight="1">
      <c r="A557" s="85" t="s">
        <v>158</v>
      </c>
      <c r="B557" s="51">
        <v>808</v>
      </c>
      <c r="C557" s="52" t="s">
        <v>529</v>
      </c>
      <c r="D557" s="52" t="s">
        <v>808</v>
      </c>
      <c r="E557" s="52" t="s">
        <v>462</v>
      </c>
      <c r="F557" s="52"/>
      <c r="G557" s="40">
        <f>SUM(G558,G560)</f>
        <v>44711.8</v>
      </c>
      <c r="H557" s="40">
        <f>SUM(H558,H560)</f>
        <v>43605.600000000006</v>
      </c>
      <c r="I557" s="40">
        <f>SUM(I558,I560)</f>
        <v>43922.100000000006</v>
      </c>
      <c r="J557" s="75"/>
      <c r="K557" s="97"/>
      <c r="L557" s="68"/>
      <c r="M557" s="69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</row>
    <row r="558" spans="1:29" ht="18" customHeight="1">
      <c r="A558" s="85" t="s">
        <v>496</v>
      </c>
      <c r="B558" s="51">
        <v>808</v>
      </c>
      <c r="C558" s="52" t="s">
        <v>529</v>
      </c>
      <c r="D558" s="52" t="s">
        <v>808</v>
      </c>
      <c r="E558" s="52" t="s">
        <v>499</v>
      </c>
      <c r="F558" s="52"/>
      <c r="G558" s="40">
        <f>SUM(G559)</f>
        <v>875.8</v>
      </c>
      <c r="H558" s="40">
        <f>SUM(H559)</f>
        <v>875.8</v>
      </c>
      <c r="I558" s="40">
        <f>SUM(I559)</f>
        <v>875.8</v>
      </c>
      <c r="J558" s="75"/>
      <c r="K558" s="97"/>
      <c r="L558" s="68"/>
      <c r="M558" s="69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</row>
    <row r="559" spans="1:29" ht="18" customHeight="1">
      <c r="A559" s="81" t="s">
        <v>13</v>
      </c>
      <c r="B559" s="51">
        <v>808</v>
      </c>
      <c r="C559" s="52" t="s">
        <v>529</v>
      </c>
      <c r="D559" s="52" t="s">
        <v>808</v>
      </c>
      <c r="E559" s="52" t="s">
        <v>499</v>
      </c>
      <c r="F559" s="52" t="s">
        <v>572</v>
      </c>
      <c r="G559" s="40">
        <v>875.8</v>
      </c>
      <c r="H559" s="40">
        <v>875.8</v>
      </c>
      <c r="I559" s="40">
        <v>875.8</v>
      </c>
      <c r="J559" s="75"/>
      <c r="K559" s="97"/>
      <c r="L559" s="68"/>
      <c r="M559" s="69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</row>
    <row r="560" spans="1:29" ht="18" customHeight="1">
      <c r="A560" s="85" t="s">
        <v>403</v>
      </c>
      <c r="B560" s="51">
        <v>808</v>
      </c>
      <c r="C560" s="52" t="s">
        <v>529</v>
      </c>
      <c r="D560" s="52" t="s">
        <v>808</v>
      </c>
      <c r="E560" s="52" t="s">
        <v>463</v>
      </c>
      <c r="F560" s="52"/>
      <c r="G560" s="40">
        <f>SUM(G561)</f>
        <v>43836</v>
      </c>
      <c r="H560" s="40">
        <f>SUM(H561)</f>
        <v>42729.8</v>
      </c>
      <c r="I560" s="40">
        <f>SUM(I561)</f>
        <v>43046.3</v>
      </c>
      <c r="J560" s="75"/>
      <c r="K560" s="97"/>
      <c r="L560" s="68"/>
      <c r="M560" s="69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</row>
    <row r="561" spans="1:29" ht="18" customHeight="1">
      <c r="A561" s="81" t="s">
        <v>159</v>
      </c>
      <c r="B561" s="51">
        <v>808</v>
      </c>
      <c r="C561" s="52" t="s">
        <v>529</v>
      </c>
      <c r="D561" s="52" t="s">
        <v>808</v>
      </c>
      <c r="E561" s="52" t="s">
        <v>463</v>
      </c>
      <c r="F561" s="52" t="s">
        <v>572</v>
      </c>
      <c r="G561" s="40">
        <v>43836</v>
      </c>
      <c r="H561" s="40">
        <v>42729.8</v>
      </c>
      <c r="I561" s="40">
        <v>43046.3</v>
      </c>
      <c r="J561" s="75"/>
      <c r="K561" s="97"/>
      <c r="L561" s="68"/>
      <c r="M561" s="69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</row>
    <row r="562" spans="1:29" ht="18" customHeight="1" hidden="1">
      <c r="A562" s="85" t="s">
        <v>250</v>
      </c>
      <c r="B562" s="51">
        <v>808</v>
      </c>
      <c r="C562" s="52" t="s">
        <v>529</v>
      </c>
      <c r="D562" s="52" t="s">
        <v>529</v>
      </c>
      <c r="E562" s="52"/>
      <c r="F562" s="52"/>
      <c r="G562" s="40">
        <f>G563</f>
        <v>0</v>
      </c>
      <c r="H562" s="40">
        <f aca="true" t="shared" si="58" ref="H562:I564">H563</f>
        <v>0</v>
      </c>
      <c r="I562" s="40">
        <f t="shared" si="58"/>
        <v>0</v>
      </c>
      <c r="J562" s="75"/>
      <c r="K562" s="97"/>
      <c r="L562" s="68"/>
      <c r="M562" s="69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</row>
    <row r="563" spans="1:29" ht="18" customHeight="1" hidden="1">
      <c r="A563" s="81" t="s">
        <v>226</v>
      </c>
      <c r="B563" s="51">
        <v>808</v>
      </c>
      <c r="C563" s="52" t="s">
        <v>529</v>
      </c>
      <c r="D563" s="52" t="s">
        <v>529</v>
      </c>
      <c r="E563" s="52" t="s">
        <v>494</v>
      </c>
      <c r="F563" s="52"/>
      <c r="G563" s="40">
        <f>G564</f>
        <v>0</v>
      </c>
      <c r="H563" s="40">
        <f t="shared" si="58"/>
        <v>0</v>
      </c>
      <c r="I563" s="40">
        <f t="shared" si="58"/>
        <v>0</v>
      </c>
      <c r="J563" s="75"/>
      <c r="K563" s="97"/>
      <c r="L563" s="68"/>
      <c r="M563" s="69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</row>
    <row r="564" spans="1:29" ht="18" customHeight="1" hidden="1">
      <c r="A564" s="86" t="s">
        <v>323</v>
      </c>
      <c r="B564" s="51">
        <v>808</v>
      </c>
      <c r="C564" s="52" t="s">
        <v>529</v>
      </c>
      <c r="D564" s="52" t="s">
        <v>529</v>
      </c>
      <c r="E564" s="52" t="s">
        <v>537</v>
      </c>
      <c r="F564" s="52"/>
      <c r="G564" s="40">
        <f>G565</f>
        <v>0</v>
      </c>
      <c r="H564" s="40">
        <f t="shared" si="58"/>
        <v>0</v>
      </c>
      <c r="I564" s="40">
        <f t="shared" si="58"/>
        <v>0</v>
      </c>
      <c r="J564" s="75"/>
      <c r="K564" s="97"/>
      <c r="L564" s="68"/>
      <c r="M564" s="69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</row>
    <row r="565" spans="1:29" ht="18" customHeight="1" hidden="1">
      <c r="A565" s="85" t="s">
        <v>560</v>
      </c>
      <c r="B565" s="51">
        <v>808</v>
      </c>
      <c r="C565" s="52" t="s">
        <v>529</v>
      </c>
      <c r="D565" s="52" t="s">
        <v>529</v>
      </c>
      <c r="E565" s="52" t="s">
        <v>537</v>
      </c>
      <c r="F565" s="52" t="s">
        <v>559</v>
      </c>
      <c r="G565" s="40"/>
      <c r="H565" s="40"/>
      <c r="I565" s="40"/>
      <c r="J565" s="75"/>
      <c r="K565" s="97"/>
      <c r="L565" s="68"/>
      <c r="M565" s="69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</row>
    <row r="566" spans="1:29" ht="17.25" customHeight="1">
      <c r="A566" s="85" t="s">
        <v>122</v>
      </c>
      <c r="B566" s="106">
        <v>808</v>
      </c>
      <c r="C566" s="83" t="s">
        <v>529</v>
      </c>
      <c r="D566" s="83" t="s">
        <v>57</v>
      </c>
      <c r="E566" s="83"/>
      <c r="F566" s="83"/>
      <c r="G566" s="40">
        <f>G570+G567</f>
        <v>253</v>
      </c>
      <c r="H566" s="40">
        <f>H570+H567</f>
        <v>192</v>
      </c>
      <c r="I566" s="40">
        <f>I570+I567</f>
        <v>387</v>
      </c>
      <c r="J566" s="75"/>
      <c r="K566" s="68"/>
      <c r="L566" s="68"/>
      <c r="M566" s="69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</row>
    <row r="567" spans="1:29" ht="17.25" customHeight="1">
      <c r="A567" s="82" t="s">
        <v>297</v>
      </c>
      <c r="B567" s="51">
        <v>808</v>
      </c>
      <c r="C567" s="52" t="s">
        <v>529</v>
      </c>
      <c r="D567" s="52" t="s">
        <v>57</v>
      </c>
      <c r="E567" s="52" t="s">
        <v>395</v>
      </c>
      <c r="F567" s="83"/>
      <c r="G567" s="40">
        <f aca="true" t="shared" si="59" ref="G567:I568">G568</f>
        <v>159</v>
      </c>
      <c r="H567" s="40">
        <f t="shared" si="59"/>
        <v>90</v>
      </c>
      <c r="I567" s="40">
        <f t="shared" si="59"/>
        <v>285</v>
      </c>
      <c r="J567" s="75"/>
      <c r="K567" s="68"/>
      <c r="L567" s="68"/>
      <c r="M567" s="69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</row>
    <row r="568" spans="1:29" ht="36.75" customHeight="1">
      <c r="A568" s="85" t="s">
        <v>444</v>
      </c>
      <c r="B568" s="51">
        <v>808</v>
      </c>
      <c r="C568" s="52" t="s">
        <v>529</v>
      </c>
      <c r="D568" s="52" t="s">
        <v>57</v>
      </c>
      <c r="E568" s="52" t="s">
        <v>443</v>
      </c>
      <c r="F568" s="83"/>
      <c r="G568" s="40">
        <f t="shared" si="59"/>
        <v>159</v>
      </c>
      <c r="H568" s="40">
        <f t="shared" si="59"/>
        <v>90</v>
      </c>
      <c r="I568" s="40">
        <f t="shared" si="59"/>
        <v>285</v>
      </c>
      <c r="J568" s="75"/>
      <c r="K568" s="68"/>
      <c r="L568" s="68"/>
      <c r="M568" s="69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</row>
    <row r="569" spans="1:29" ht="17.25" customHeight="1">
      <c r="A569" s="82" t="s">
        <v>522</v>
      </c>
      <c r="B569" s="51">
        <v>808</v>
      </c>
      <c r="C569" s="52" t="s">
        <v>529</v>
      </c>
      <c r="D569" s="52" t="s">
        <v>57</v>
      </c>
      <c r="E569" s="52" t="s">
        <v>443</v>
      </c>
      <c r="F569" s="83" t="s">
        <v>120</v>
      </c>
      <c r="G569" s="40">
        <v>159</v>
      </c>
      <c r="H569" s="40">
        <v>90</v>
      </c>
      <c r="I569" s="40">
        <v>285</v>
      </c>
      <c r="J569" s="75"/>
      <c r="K569" s="68"/>
      <c r="L569" s="68"/>
      <c r="M569" s="69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</row>
    <row r="570" spans="1:29" ht="17.25" customHeight="1">
      <c r="A570" s="86" t="s">
        <v>364</v>
      </c>
      <c r="B570" s="106">
        <v>808</v>
      </c>
      <c r="C570" s="83" t="s">
        <v>529</v>
      </c>
      <c r="D570" s="83" t="s">
        <v>57</v>
      </c>
      <c r="E570" s="52" t="s">
        <v>358</v>
      </c>
      <c r="F570" s="52"/>
      <c r="G570" s="40">
        <f>G571</f>
        <v>94</v>
      </c>
      <c r="H570" s="40">
        <f aca="true" t="shared" si="60" ref="G570:I572">H571</f>
        <v>102</v>
      </c>
      <c r="I570" s="40">
        <f t="shared" si="60"/>
        <v>102</v>
      </c>
      <c r="J570" s="75"/>
      <c r="K570" s="68"/>
      <c r="L570" s="68"/>
      <c r="M570" s="69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</row>
    <row r="571" spans="1:29" ht="17.25" customHeight="1">
      <c r="A571" s="86" t="s">
        <v>394</v>
      </c>
      <c r="B571" s="106">
        <v>808</v>
      </c>
      <c r="C571" s="83" t="s">
        <v>529</v>
      </c>
      <c r="D571" s="83" t="s">
        <v>57</v>
      </c>
      <c r="E571" s="52" t="s">
        <v>359</v>
      </c>
      <c r="F571" s="52"/>
      <c r="G571" s="40">
        <f>G572</f>
        <v>94</v>
      </c>
      <c r="H571" s="40">
        <f>H572</f>
        <v>102</v>
      </c>
      <c r="I571" s="40">
        <f>I572</f>
        <v>102</v>
      </c>
      <c r="J571" s="75"/>
      <c r="K571" s="68"/>
      <c r="L571" s="68"/>
      <c r="M571" s="69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</row>
    <row r="572" spans="1:29" ht="17.25" customHeight="1">
      <c r="A572" s="85" t="s">
        <v>216</v>
      </c>
      <c r="B572" s="106">
        <v>808</v>
      </c>
      <c r="C572" s="83" t="s">
        <v>529</v>
      </c>
      <c r="D572" s="83" t="s">
        <v>57</v>
      </c>
      <c r="E572" s="52" t="s">
        <v>369</v>
      </c>
      <c r="F572" s="52"/>
      <c r="G572" s="40">
        <f t="shared" si="60"/>
        <v>94</v>
      </c>
      <c r="H572" s="40">
        <f t="shared" si="60"/>
        <v>102</v>
      </c>
      <c r="I572" s="40">
        <f t="shared" si="60"/>
        <v>102</v>
      </c>
      <c r="J572" s="75"/>
      <c r="K572" s="68"/>
      <c r="L572" s="68"/>
      <c r="M572" s="69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</row>
    <row r="573" spans="1:29" ht="20.25" customHeight="1">
      <c r="A573" s="82" t="s">
        <v>522</v>
      </c>
      <c r="B573" s="106">
        <v>808</v>
      </c>
      <c r="C573" s="83" t="s">
        <v>529</v>
      </c>
      <c r="D573" s="83" t="s">
        <v>57</v>
      </c>
      <c r="E573" s="52" t="s">
        <v>369</v>
      </c>
      <c r="F573" s="52" t="s">
        <v>120</v>
      </c>
      <c r="G573" s="40">
        <v>94</v>
      </c>
      <c r="H573" s="40">
        <v>102</v>
      </c>
      <c r="I573" s="40">
        <v>102</v>
      </c>
      <c r="J573" s="75"/>
      <c r="K573" s="68"/>
      <c r="L573" s="68"/>
      <c r="M573" s="69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</row>
    <row r="574" spans="1:29" ht="21" customHeight="1">
      <c r="A574" s="85" t="s">
        <v>235</v>
      </c>
      <c r="B574" s="51">
        <v>808</v>
      </c>
      <c r="C574" s="52" t="s">
        <v>60</v>
      </c>
      <c r="D574" s="52"/>
      <c r="E574" s="52"/>
      <c r="F574" s="52"/>
      <c r="G574" s="40">
        <f>SUM(G575,G612)</f>
        <v>219513.30000000002</v>
      </c>
      <c r="H574" s="40">
        <f>SUM(H575,H612)</f>
        <v>200270.50000000003</v>
      </c>
      <c r="I574" s="40">
        <f>SUM(I575,I612)</f>
        <v>203659.3</v>
      </c>
      <c r="J574" s="75"/>
      <c r="K574" s="68"/>
      <c r="L574" s="68"/>
      <c r="M574" s="69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</row>
    <row r="575" spans="1:29" ht="18" customHeight="1">
      <c r="A575" s="85" t="s">
        <v>251</v>
      </c>
      <c r="B575" s="51">
        <v>808</v>
      </c>
      <c r="C575" s="52" t="s">
        <v>60</v>
      </c>
      <c r="D575" s="52" t="s">
        <v>807</v>
      </c>
      <c r="E575" s="52"/>
      <c r="F575" s="52"/>
      <c r="G575" s="40">
        <f>SUM(G576,G583,G588,G593,G600,G603)</f>
        <v>206215.40000000002</v>
      </c>
      <c r="H575" s="40">
        <f>SUM(H576,H583,H588,H593,H600,H603)</f>
        <v>186702.40000000002</v>
      </c>
      <c r="I575" s="40">
        <f>SUM(I576,I583,I588,I593,I600,I603)</f>
        <v>189904.9</v>
      </c>
      <c r="J575" s="75"/>
      <c r="K575" s="68"/>
      <c r="L575" s="68"/>
      <c r="M575" s="69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</row>
    <row r="576" spans="1:29" ht="19.5" customHeight="1">
      <c r="A576" s="81" t="s">
        <v>317</v>
      </c>
      <c r="B576" s="51">
        <v>808</v>
      </c>
      <c r="C576" s="52" t="s">
        <v>60</v>
      </c>
      <c r="D576" s="52" t="s">
        <v>807</v>
      </c>
      <c r="E576" s="52" t="s">
        <v>160</v>
      </c>
      <c r="F576" s="52"/>
      <c r="G576" s="40">
        <f>SUM(G577,G579)</f>
        <v>80203.7</v>
      </c>
      <c r="H576" s="40">
        <f>SUM(H577,H579)</f>
        <v>78151.6</v>
      </c>
      <c r="I576" s="40">
        <f>SUM(I577,I579)</f>
        <v>79351</v>
      </c>
      <c r="J576" s="75"/>
      <c r="K576" s="68"/>
      <c r="L576" s="68"/>
      <c r="M576" s="69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</row>
    <row r="577" spans="1:29" ht="19.5" customHeight="1">
      <c r="A577" s="85" t="s">
        <v>496</v>
      </c>
      <c r="B577" s="51">
        <v>808</v>
      </c>
      <c r="C577" s="52" t="s">
        <v>60</v>
      </c>
      <c r="D577" s="52" t="s">
        <v>807</v>
      </c>
      <c r="E577" s="52" t="s">
        <v>505</v>
      </c>
      <c r="F577" s="52"/>
      <c r="G577" s="40">
        <f>SUM(G578)</f>
        <v>1465</v>
      </c>
      <c r="H577" s="40">
        <f>SUM(H578)</f>
        <v>1465</v>
      </c>
      <c r="I577" s="40">
        <f>SUM(I578)</f>
        <v>1465</v>
      </c>
      <c r="J577" s="75"/>
      <c r="K577" s="68"/>
      <c r="L577" s="68"/>
      <c r="M577" s="69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</row>
    <row r="578" spans="1:29" ht="20.25" customHeight="1">
      <c r="A578" s="81" t="s">
        <v>13</v>
      </c>
      <c r="B578" s="51">
        <v>808</v>
      </c>
      <c r="C578" s="52" t="s">
        <v>60</v>
      </c>
      <c r="D578" s="52" t="s">
        <v>807</v>
      </c>
      <c r="E578" s="52" t="s">
        <v>505</v>
      </c>
      <c r="F578" s="52" t="s">
        <v>572</v>
      </c>
      <c r="G578" s="40">
        <v>1465</v>
      </c>
      <c r="H578" s="40">
        <v>1465</v>
      </c>
      <c r="I578" s="40">
        <v>1465</v>
      </c>
      <c r="J578" s="75"/>
      <c r="K578" s="68"/>
      <c r="L578" s="68"/>
      <c r="M578" s="69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</row>
    <row r="579" spans="1:29" ht="19.5" customHeight="1">
      <c r="A579" s="85" t="s">
        <v>403</v>
      </c>
      <c r="B579" s="51">
        <v>808</v>
      </c>
      <c r="C579" s="52" t="s">
        <v>60</v>
      </c>
      <c r="D579" s="52" t="s">
        <v>807</v>
      </c>
      <c r="E579" s="52" t="s">
        <v>161</v>
      </c>
      <c r="F579" s="52"/>
      <c r="G579" s="40">
        <f>G580+G581+G582</f>
        <v>78738.7</v>
      </c>
      <c r="H579" s="40">
        <f>H580+H581+H582</f>
        <v>76686.6</v>
      </c>
      <c r="I579" s="40">
        <f>I580+I581+I582</f>
        <v>77886</v>
      </c>
      <c r="J579" s="75"/>
      <c r="K579" s="68"/>
      <c r="L579" s="68"/>
      <c r="M579" s="69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</row>
    <row r="580" spans="1:29" ht="16.5">
      <c r="A580" s="81" t="s">
        <v>159</v>
      </c>
      <c r="B580" s="51">
        <v>808</v>
      </c>
      <c r="C580" s="52" t="s">
        <v>60</v>
      </c>
      <c r="D580" s="52" t="s">
        <v>807</v>
      </c>
      <c r="E580" s="52" t="s">
        <v>161</v>
      </c>
      <c r="F580" s="52" t="s">
        <v>572</v>
      </c>
      <c r="G580" s="40">
        <v>78738.7</v>
      </c>
      <c r="H580" s="40">
        <v>76686.6</v>
      </c>
      <c r="I580" s="40">
        <v>77886</v>
      </c>
      <c r="J580" s="75"/>
      <c r="K580" s="68"/>
      <c r="L580" s="68"/>
      <c r="M580" s="69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</row>
    <row r="581" spans="1:29" ht="33.75" customHeight="1" hidden="1">
      <c r="A581" s="99" t="s">
        <v>581</v>
      </c>
      <c r="B581" s="107">
        <v>808</v>
      </c>
      <c r="C581" s="108" t="s">
        <v>60</v>
      </c>
      <c r="D581" s="108" t="s">
        <v>807</v>
      </c>
      <c r="E581" s="108" t="s">
        <v>161</v>
      </c>
      <c r="F581" s="108" t="s">
        <v>580</v>
      </c>
      <c r="G581" s="109"/>
      <c r="H581" s="109"/>
      <c r="I581" s="109"/>
      <c r="J581" s="110" t="s">
        <v>586</v>
      </c>
      <c r="K581" s="111" t="s">
        <v>583</v>
      </c>
      <c r="L581" s="68"/>
      <c r="M581" s="69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</row>
    <row r="582" spans="1:29" ht="21" customHeight="1" hidden="1">
      <c r="A582" s="102" t="s">
        <v>587</v>
      </c>
      <c r="B582" s="51">
        <v>808</v>
      </c>
      <c r="C582" s="52" t="s">
        <v>60</v>
      </c>
      <c r="D582" s="52" t="s">
        <v>807</v>
      </c>
      <c r="E582" s="52" t="s">
        <v>161</v>
      </c>
      <c r="F582" s="52" t="s">
        <v>588</v>
      </c>
      <c r="G582" s="40"/>
      <c r="H582" s="40"/>
      <c r="I582" s="40"/>
      <c r="J582" s="75"/>
      <c r="K582" s="68"/>
      <c r="L582" s="68"/>
      <c r="M582" s="69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</row>
    <row r="583" spans="1:29" ht="20.25" customHeight="1">
      <c r="A583" s="85" t="s">
        <v>252</v>
      </c>
      <c r="B583" s="51">
        <v>808</v>
      </c>
      <c r="C583" s="52" t="s">
        <v>60</v>
      </c>
      <c r="D583" s="52" t="s">
        <v>807</v>
      </c>
      <c r="E583" s="52" t="s">
        <v>162</v>
      </c>
      <c r="F583" s="52"/>
      <c r="G583" s="40">
        <f>SUM(G584,G586)</f>
        <v>35432.2</v>
      </c>
      <c r="H583" s="40">
        <f>SUM(H584,H586)</f>
        <v>34459.7</v>
      </c>
      <c r="I583" s="40">
        <f>SUM(I584,I586)</f>
        <v>35335.1</v>
      </c>
      <c r="J583" s="75"/>
      <c r="K583" s="68"/>
      <c r="L583" s="68"/>
      <c r="M583" s="69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</row>
    <row r="584" spans="1:29" ht="18" customHeight="1">
      <c r="A584" s="85" t="s">
        <v>496</v>
      </c>
      <c r="B584" s="51">
        <v>808</v>
      </c>
      <c r="C584" s="52" t="s">
        <v>60</v>
      </c>
      <c r="D584" s="52" t="s">
        <v>807</v>
      </c>
      <c r="E584" s="52" t="s">
        <v>506</v>
      </c>
      <c r="F584" s="52"/>
      <c r="G584" s="40">
        <f>SUM(G585)</f>
        <v>1331.6</v>
      </c>
      <c r="H584" s="40">
        <f>SUM(H585)</f>
        <v>1331.6</v>
      </c>
      <c r="I584" s="40">
        <f>SUM(I585)</f>
        <v>1331.6</v>
      </c>
      <c r="J584" s="75"/>
      <c r="K584" s="68"/>
      <c r="L584" s="68"/>
      <c r="M584" s="69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</row>
    <row r="585" spans="1:29" ht="20.25" customHeight="1">
      <c r="A585" s="81" t="s">
        <v>13</v>
      </c>
      <c r="B585" s="51">
        <v>808</v>
      </c>
      <c r="C585" s="52" t="s">
        <v>60</v>
      </c>
      <c r="D585" s="52" t="s">
        <v>807</v>
      </c>
      <c r="E585" s="52" t="s">
        <v>506</v>
      </c>
      <c r="F585" s="52" t="s">
        <v>572</v>
      </c>
      <c r="G585" s="40">
        <v>1331.6</v>
      </c>
      <c r="H585" s="40">
        <v>1331.6</v>
      </c>
      <c r="I585" s="40">
        <v>1331.6</v>
      </c>
      <c r="J585" s="75"/>
      <c r="K585" s="68"/>
      <c r="L585" s="68"/>
      <c r="M585" s="69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</row>
    <row r="586" spans="1:29" ht="19.5" customHeight="1">
      <c r="A586" s="85" t="s">
        <v>403</v>
      </c>
      <c r="B586" s="51">
        <v>808</v>
      </c>
      <c r="C586" s="52" t="s">
        <v>60</v>
      </c>
      <c r="D586" s="52" t="s">
        <v>807</v>
      </c>
      <c r="E586" s="52" t="s">
        <v>163</v>
      </c>
      <c r="F586" s="52"/>
      <c r="G586" s="40">
        <f>SUM(G587)</f>
        <v>34100.6</v>
      </c>
      <c r="H586" s="40">
        <f>SUM(H587)</f>
        <v>33128.1</v>
      </c>
      <c r="I586" s="40">
        <f>SUM(I587)</f>
        <v>34003.5</v>
      </c>
      <c r="J586" s="75"/>
      <c r="K586" s="68"/>
      <c r="L586" s="68"/>
      <c r="M586" s="69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</row>
    <row r="587" spans="1:29" ht="18.75" customHeight="1">
      <c r="A587" s="81" t="s">
        <v>159</v>
      </c>
      <c r="B587" s="51">
        <v>808</v>
      </c>
      <c r="C587" s="52" t="s">
        <v>60</v>
      </c>
      <c r="D587" s="52" t="s">
        <v>807</v>
      </c>
      <c r="E587" s="52" t="s">
        <v>163</v>
      </c>
      <c r="F587" s="52" t="s">
        <v>572</v>
      </c>
      <c r="G587" s="40">
        <v>34100.6</v>
      </c>
      <c r="H587" s="40">
        <v>33128.1</v>
      </c>
      <c r="I587" s="40">
        <v>34003.5</v>
      </c>
      <c r="J587" s="75"/>
      <c r="K587" s="68"/>
      <c r="L587" s="68"/>
      <c r="M587" s="69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</row>
    <row r="588" spans="1:29" ht="16.5">
      <c r="A588" s="85" t="s">
        <v>253</v>
      </c>
      <c r="B588" s="51">
        <v>808</v>
      </c>
      <c r="C588" s="52" t="s">
        <v>60</v>
      </c>
      <c r="D588" s="52" t="s">
        <v>807</v>
      </c>
      <c r="E588" s="52" t="s">
        <v>164</v>
      </c>
      <c r="F588" s="52"/>
      <c r="G588" s="40">
        <f>SUM(G589,G591)</f>
        <v>40265.200000000004</v>
      </c>
      <c r="H588" s="40">
        <f>SUM(H589,H591)</f>
        <v>33288.3</v>
      </c>
      <c r="I588" s="40">
        <f>SUM(I589,I591)</f>
        <v>33785.100000000006</v>
      </c>
      <c r="J588" s="75"/>
      <c r="K588" s="68"/>
      <c r="L588" s="68"/>
      <c r="M588" s="69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</row>
    <row r="589" spans="1:29" ht="18" customHeight="1">
      <c r="A589" s="85" t="s">
        <v>496</v>
      </c>
      <c r="B589" s="51">
        <v>808</v>
      </c>
      <c r="C589" s="52" t="s">
        <v>60</v>
      </c>
      <c r="D589" s="52" t="s">
        <v>807</v>
      </c>
      <c r="E589" s="52" t="s">
        <v>520</v>
      </c>
      <c r="F589" s="52"/>
      <c r="G589" s="40">
        <f>SUM(G590)</f>
        <v>459.3</v>
      </c>
      <c r="H589" s="40">
        <f>SUM(H590)</f>
        <v>459.3</v>
      </c>
      <c r="I589" s="40">
        <f>SUM(I590)</f>
        <v>459.3</v>
      </c>
      <c r="J589" s="75"/>
      <c r="K589" s="68"/>
      <c r="L589" s="68"/>
      <c r="M589" s="69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</row>
    <row r="590" spans="1:29" ht="18" customHeight="1">
      <c r="A590" s="81" t="s">
        <v>13</v>
      </c>
      <c r="B590" s="51">
        <v>808</v>
      </c>
      <c r="C590" s="52" t="s">
        <v>60</v>
      </c>
      <c r="D590" s="52" t="s">
        <v>807</v>
      </c>
      <c r="E590" s="52" t="s">
        <v>520</v>
      </c>
      <c r="F590" s="52" t="s">
        <v>572</v>
      </c>
      <c r="G590" s="40">
        <v>459.3</v>
      </c>
      <c r="H590" s="40">
        <v>459.3</v>
      </c>
      <c r="I590" s="40">
        <v>459.3</v>
      </c>
      <c r="J590" s="75"/>
      <c r="K590" s="68"/>
      <c r="L590" s="68"/>
      <c r="M590" s="69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</row>
    <row r="591" spans="1:29" s="89" customFormat="1" ht="18" customHeight="1">
      <c r="A591" s="85" t="s">
        <v>403</v>
      </c>
      <c r="B591" s="51">
        <v>808</v>
      </c>
      <c r="C591" s="52" t="s">
        <v>60</v>
      </c>
      <c r="D591" s="52" t="s">
        <v>807</v>
      </c>
      <c r="E591" s="52" t="s">
        <v>165</v>
      </c>
      <c r="F591" s="52"/>
      <c r="G591" s="40">
        <f>SUM(G592)</f>
        <v>39805.9</v>
      </c>
      <c r="H591" s="40">
        <f>SUM(H592)</f>
        <v>32829</v>
      </c>
      <c r="I591" s="40">
        <f>SUM(I592)</f>
        <v>33325.8</v>
      </c>
      <c r="J591" s="75"/>
      <c r="K591" s="68"/>
      <c r="L591" s="68"/>
      <c r="M591" s="69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</row>
    <row r="592" spans="1:29" s="90" customFormat="1" ht="18.75" customHeight="1">
      <c r="A592" s="81" t="s">
        <v>159</v>
      </c>
      <c r="B592" s="51">
        <v>808</v>
      </c>
      <c r="C592" s="52" t="s">
        <v>60</v>
      </c>
      <c r="D592" s="52" t="s">
        <v>807</v>
      </c>
      <c r="E592" s="52" t="s">
        <v>165</v>
      </c>
      <c r="F592" s="52" t="s">
        <v>572</v>
      </c>
      <c r="G592" s="40">
        <v>39805.9</v>
      </c>
      <c r="H592" s="40">
        <v>32829</v>
      </c>
      <c r="I592" s="40">
        <v>33325.8</v>
      </c>
      <c r="J592" s="75"/>
      <c r="K592" s="68"/>
      <c r="L592" s="68"/>
      <c r="M592" s="69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</row>
    <row r="593" spans="1:29" ht="19.5" customHeight="1">
      <c r="A593" s="81" t="s">
        <v>56</v>
      </c>
      <c r="B593" s="51">
        <v>808</v>
      </c>
      <c r="C593" s="52" t="s">
        <v>60</v>
      </c>
      <c r="D593" s="52" t="s">
        <v>807</v>
      </c>
      <c r="E593" s="52" t="s">
        <v>177</v>
      </c>
      <c r="F593" s="52"/>
      <c r="G593" s="40">
        <f>SUM(G594,G596)</f>
        <v>41137.600000000006</v>
      </c>
      <c r="H593" s="40">
        <f>SUM(H594,H596)</f>
        <v>37470.8</v>
      </c>
      <c r="I593" s="40">
        <f>SUM(I594,I596)</f>
        <v>37728.3</v>
      </c>
      <c r="J593" s="75"/>
      <c r="K593" s="68"/>
      <c r="L593" s="68"/>
      <c r="M593" s="69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</row>
    <row r="594" spans="1:29" ht="20.25" customHeight="1">
      <c r="A594" s="85" t="s">
        <v>496</v>
      </c>
      <c r="B594" s="51">
        <v>808</v>
      </c>
      <c r="C594" s="52" t="s">
        <v>60</v>
      </c>
      <c r="D594" s="52" t="s">
        <v>807</v>
      </c>
      <c r="E594" s="52" t="s">
        <v>521</v>
      </c>
      <c r="F594" s="52"/>
      <c r="G594" s="40">
        <f>SUM(G595)</f>
        <v>335.8</v>
      </c>
      <c r="H594" s="40">
        <f>SUM(H595)</f>
        <v>335.8</v>
      </c>
      <c r="I594" s="40">
        <f>SUM(I595)</f>
        <v>335.8</v>
      </c>
      <c r="J594" s="75"/>
      <c r="K594" s="68"/>
      <c r="L594" s="68"/>
      <c r="M594" s="69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</row>
    <row r="595" spans="1:29" ht="18.75" customHeight="1">
      <c r="A595" s="81" t="s">
        <v>13</v>
      </c>
      <c r="B595" s="51">
        <v>808</v>
      </c>
      <c r="C595" s="52" t="s">
        <v>60</v>
      </c>
      <c r="D595" s="52" t="s">
        <v>807</v>
      </c>
      <c r="E595" s="52" t="s">
        <v>521</v>
      </c>
      <c r="F595" s="52" t="s">
        <v>572</v>
      </c>
      <c r="G595" s="40">
        <v>335.8</v>
      </c>
      <c r="H595" s="40">
        <v>335.8</v>
      </c>
      <c r="I595" s="40">
        <v>335.8</v>
      </c>
      <c r="J595" s="75"/>
      <c r="K595" s="68"/>
      <c r="L595" s="68"/>
      <c r="M595" s="69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</row>
    <row r="596" spans="1:29" ht="18.75" customHeight="1">
      <c r="A596" s="85" t="s">
        <v>403</v>
      </c>
      <c r="B596" s="51">
        <v>808</v>
      </c>
      <c r="C596" s="52" t="s">
        <v>60</v>
      </c>
      <c r="D596" s="52" t="s">
        <v>807</v>
      </c>
      <c r="E596" s="52" t="s">
        <v>178</v>
      </c>
      <c r="F596" s="52"/>
      <c r="G596" s="40">
        <f>SUM(G597)</f>
        <v>40801.8</v>
      </c>
      <c r="H596" s="40">
        <f>SUM(H597)</f>
        <v>37135</v>
      </c>
      <c r="I596" s="40">
        <f>SUM(I597)</f>
        <v>37392.5</v>
      </c>
      <c r="J596" s="75"/>
      <c r="K596" s="68"/>
      <c r="L596" s="68"/>
      <c r="M596" s="69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</row>
    <row r="597" spans="1:29" ht="18.75" customHeight="1">
      <c r="A597" s="81" t="s">
        <v>159</v>
      </c>
      <c r="B597" s="51">
        <v>808</v>
      </c>
      <c r="C597" s="52" t="s">
        <v>60</v>
      </c>
      <c r="D597" s="52" t="s">
        <v>807</v>
      </c>
      <c r="E597" s="52" t="s">
        <v>178</v>
      </c>
      <c r="F597" s="52" t="s">
        <v>572</v>
      </c>
      <c r="G597" s="40">
        <v>40801.8</v>
      </c>
      <c r="H597" s="40">
        <v>37135</v>
      </c>
      <c r="I597" s="40">
        <v>37392.5</v>
      </c>
      <c r="J597" s="75"/>
      <c r="K597" s="68"/>
      <c r="L597" s="68"/>
      <c r="M597" s="69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</row>
    <row r="598" spans="1:29" ht="30.75" customHeight="1" hidden="1">
      <c r="A598" s="99" t="s">
        <v>581</v>
      </c>
      <c r="B598" s="51">
        <v>808</v>
      </c>
      <c r="C598" s="52" t="s">
        <v>60</v>
      </c>
      <c r="D598" s="52" t="s">
        <v>807</v>
      </c>
      <c r="E598" s="52" t="s">
        <v>178</v>
      </c>
      <c r="F598" s="108" t="s">
        <v>580</v>
      </c>
      <c r="G598" s="40"/>
      <c r="H598" s="40"/>
      <c r="I598" s="40"/>
      <c r="J598" s="75"/>
      <c r="K598" s="68"/>
      <c r="L598" s="68"/>
      <c r="M598" s="69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</row>
    <row r="599" spans="1:29" ht="18.75" customHeight="1" hidden="1">
      <c r="A599" s="102" t="s">
        <v>587</v>
      </c>
      <c r="B599" s="51">
        <v>808</v>
      </c>
      <c r="C599" s="52" t="s">
        <v>60</v>
      </c>
      <c r="D599" s="52" t="s">
        <v>807</v>
      </c>
      <c r="E599" s="52" t="s">
        <v>178</v>
      </c>
      <c r="F599" s="52" t="s">
        <v>588</v>
      </c>
      <c r="G599" s="40"/>
      <c r="H599" s="40"/>
      <c r="I599" s="40"/>
      <c r="J599" s="75"/>
      <c r="K599" s="68"/>
      <c r="L599" s="68"/>
      <c r="M599" s="69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</row>
    <row r="600" spans="1:29" ht="20.25" customHeight="1">
      <c r="A600" s="81" t="s">
        <v>789</v>
      </c>
      <c r="B600" s="51">
        <v>808</v>
      </c>
      <c r="C600" s="52" t="s">
        <v>60</v>
      </c>
      <c r="D600" s="52" t="s">
        <v>807</v>
      </c>
      <c r="E600" s="52" t="s">
        <v>179</v>
      </c>
      <c r="F600" s="52"/>
      <c r="G600" s="40">
        <f>SUM(G601)</f>
        <v>5582.5</v>
      </c>
      <c r="H600" s="40">
        <f>SUM(H601)</f>
        <v>3175</v>
      </c>
      <c r="I600" s="40">
        <f>SUM(I601)</f>
        <v>3317.9</v>
      </c>
      <c r="J600" s="75"/>
      <c r="K600" s="68"/>
      <c r="L600" s="68"/>
      <c r="M600" s="69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</row>
    <row r="601" spans="1:29" ht="17.25" customHeight="1">
      <c r="A601" s="50" t="s">
        <v>180</v>
      </c>
      <c r="B601" s="51">
        <v>808</v>
      </c>
      <c r="C601" s="52" t="s">
        <v>60</v>
      </c>
      <c r="D601" s="52" t="s">
        <v>807</v>
      </c>
      <c r="E601" s="52" t="s">
        <v>181</v>
      </c>
      <c r="F601" s="52"/>
      <c r="G601" s="40">
        <f>G602</f>
        <v>5582.5</v>
      </c>
      <c r="H601" s="40">
        <f>H602</f>
        <v>3175</v>
      </c>
      <c r="I601" s="40">
        <f>I602</f>
        <v>3317.9</v>
      </c>
      <c r="J601" s="75"/>
      <c r="K601" s="68"/>
      <c r="L601" s="68"/>
      <c r="M601" s="69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</row>
    <row r="602" spans="1:29" ht="21" customHeight="1">
      <c r="A602" s="50" t="s">
        <v>558</v>
      </c>
      <c r="B602" s="51">
        <v>808</v>
      </c>
      <c r="C602" s="52" t="s">
        <v>60</v>
      </c>
      <c r="D602" s="52" t="s">
        <v>807</v>
      </c>
      <c r="E602" s="52" t="s">
        <v>181</v>
      </c>
      <c r="F602" s="52" t="s">
        <v>305</v>
      </c>
      <c r="G602" s="40">
        <f>5266.5+316</f>
        <v>5582.5</v>
      </c>
      <c r="H602" s="40">
        <v>3175</v>
      </c>
      <c r="I602" s="40">
        <v>3317.9</v>
      </c>
      <c r="J602" s="75"/>
      <c r="K602" s="68"/>
      <c r="L602" s="68"/>
      <c r="M602" s="69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</row>
    <row r="603" spans="1:29" ht="21" customHeight="1">
      <c r="A603" s="82" t="s">
        <v>297</v>
      </c>
      <c r="B603" s="51">
        <v>808</v>
      </c>
      <c r="C603" s="52" t="s">
        <v>60</v>
      </c>
      <c r="D603" s="52" t="s">
        <v>807</v>
      </c>
      <c r="E603" s="52" t="s">
        <v>395</v>
      </c>
      <c r="F603" s="52"/>
      <c r="G603" s="40">
        <f>SUM(G604,G606,G608,G610)</f>
        <v>3594.2</v>
      </c>
      <c r="H603" s="40">
        <f>SUM(H604,H606,H608,H610)</f>
        <v>157</v>
      </c>
      <c r="I603" s="40">
        <f>SUM(I604,I606,I608,I610)</f>
        <v>387.5</v>
      </c>
      <c r="J603" s="75"/>
      <c r="K603" s="68"/>
      <c r="L603" s="68"/>
      <c r="M603" s="69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</row>
    <row r="604" spans="1:29" ht="36" customHeight="1" hidden="1">
      <c r="A604" s="81" t="s">
        <v>547</v>
      </c>
      <c r="B604" s="51">
        <v>808</v>
      </c>
      <c r="C604" s="52" t="s">
        <v>60</v>
      </c>
      <c r="D604" s="52" t="s">
        <v>807</v>
      </c>
      <c r="E604" s="52" t="s">
        <v>321</v>
      </c>
      <c r="F604" s="52"/>
      <c r="G604" s="40">
        <f>SUM(G605)</f>
        <v>350</v>
      </c>
      <c r="H604" s="40">
        <f>SUM(H605)</f>
        <v>0</v>
      </c>
      <c r="I604" s="40">
        <f>SUM(I605)</f>
        <v>0</v>
      </c>
      <c r="J604" s="75"/>
      <c r="K604" s="68"/>
      <c r="L604" s="68"/>
      <c r="M604" s="69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</row>
    <row r="605" spans="1:29" ht="32.25" customHeight="1" hidden="1">
      <c r="A605" s="50" t="s">
        <v>182</v>
      </c>
      <c r="B605" s="51">
        <v>808</v>
      </c>
      <c r="C605" s="52" t="s">
        <v>60</v>
      </c>
      <c r="D605" s="52" t="s">
        <v>807</v>
      </c>
      <c r="E605" s="52" t="s">
        <v>321</v>
      </c>
      <c r="F605" s="52" t="s">
        <v>306</v>
      </c>
      <c r="G605" s="40">
        <v>350</v>
      </c>
      <c r="H605" s="40"/>
      <c r="I605" s="40"/>
      <c r="J605" s="75"/>
      <c r="K605" s="68"/>
      <c r="L605" s="68"/>
      <c r="M605" s="69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</row>
    <row r="606" spans="1:29" ht="33" customHeight="1" hidden="1">
      <c r="A606" s="50" t="s">
        <v>787</v>
      </c>
      <c r="B606" s="51">
        <v>808</v>
      </c>
      <c r="C606" s="52" t="s">
        <v>60</v>
      </c>
      <c r="D606" s="52" t="s">
        <v>807</v>
      </c>
      <c r="E606" s="52" t="s">
        <v>301</v>
      </c>
      <c r="F606" s="52"/>
      <c r="G606" s="40">
        <f>SUM(G607)</f>
        <v>2774</v>
      </c>
      <c r="H606" s="40">
        <f>SUM(H607)</f>
        <v>0</v>
      </c>
      <c r="I606" s="40">
        <f>SUM(I607)</f>
        <v>0</v>
      </c>
      <c r="J606" s="75"/>
      <c r="K606" s="68"/>
      <c r="L606" s="68"/>
      <c r="M606" s="69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</row>
    <row r="607" spans="1:29" ht="36" customHeight="1" hidden="1">
      <c r="A607" s="50" t="s">
        <v>182</v>
      </c>
      <c r="B607" s="51">
        <v>808</v>
      </c>
      <c r="C607" s="52" t="s">
        <v>60</v>
      </c>
      <c r="D607" s="52" t="s">
        <v>807</v>
      </c>
      <c r="E607" s="52" t="s">
        <v>301</v>
      </c>
      <c r="F607" s="52" t="s">
        <v>306</v>
      </c>
      <c r="G607" s="40">
        <v>2774</v>
      </c>
      <c r="H607" s="40"/>
      <c r="I607" s="40"/>
      <c r="J607" s="75"/>
      <c r="K607" s="68"/>
      <c r="L607" s="68"/>
      <c r="M607" s="69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</row>
    <row r="608" spans="1:29" ht="40.5" customHeight="1">
      <c r="A608" s="50" t="s">
        <v>445</v>
      </c>
      <c r="B608" s="51">
        <v>808</v>
      </c>
      <c r="C608" s="52" t="s">
        <v>60</v>
      </c>
      <c r="D608" s="52" t="s">
        <v>807</v>
      </c>
      <c r="E608" s="52" t="s">
        <v>446</v>
      </c>
      <c r="F608" s="52"/>
      <c r="G608" s="40">
        <f>G609</f>
        <v>100</v>
      </c>
      <c r="H608" s="40">
        <f>H609</f>
        <v>100</v>
      </c>
      <c r="I608" s="40">
        <f>I609</f>
        <v>100</v>
      </c>
      <c r="J608" s="75"/>
      <c r="K608" s="68"/>
      <c r="L608" s="68"/>
      <c r="M608" s="69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</row>
    <row r="609" spans="1:29" ht="36.75" customHeight="1">
      <c r="A609" s="50" t="s">
        <v>182</v>
      </c>
      <c r="B609" s="51">
        <v>808</v>
      </c>
      <c r="C609" s="52" t="s">
        <v>60</v>
      </c>
      <c r="D609" s="52" t="s">
        <v>807</v>
      </c>
      <c r="E609" s="52" t="s">
        <v>446</v>
      </c>
      <c r="F609" s="52" t="s">
        <v>306</v>
      </c>
      <c r="G609" s="40">
        <v>100</v>
      </c>
      <c r="H609" s="40">
        <v>100</v>
      </c>
      <c r="I609" s="40">
        <v>100</v>
      </c>
      <c r="J609" s="75"/>
      <c r="K609" s="68"/>
      <c r="L609" s="68"/>
      <c r="M609" s="69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</row>
    <row r="610" spans="1:29" ht="18.75" customHeight="1">
      <c r="A610" s="82" t="s">
        <v>453</v>
      </c>
      <c r="B610" s="51">
        <v>808</v>
      </c>
      <c r="C610" s="52" t="s">
        <v>60</v>
      </c>
      <c r="D610" s="52" t="s">
        <v>807</v>
      </c>
      <c r="E610" s="52" t="s">
        <v>452</v>
      </c>
      <c r="F610" s="52"/>
      <c r="G610" s="40">
        <f>G611</f>
        <v>370.2</v>
      </c>
      <c r="H610" s="40">
        <f>H611</f>
        <v>57</v>
      </c>
      <c r="I610" s="40">
        <f>I611</f>
        <v>287.5</v>
      </c>
      <c r="J610" s="75"/>
      <c r="K610" s="68"/>
      <c r="L610" s="68"/>
      <c r="M610" s="69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</row>
    <row r="611" spans="1:29" ht="36.75" customHeight="1">
      <c r="A611" s="50" t="s">
        <v>182</v>
      </c>
      <c r="B611" s="51">
        <v>808</v>
      </c>
      <c r="C611" s="52" t="s">
        <v>60</v>
      </c>
      <c r="D611" s="52" t="s">
        <v>807</v>
      </c>
      <c r="E611" s="52" t="s">
        <v>452</v>
      </c>
      <c r="F611" s="52" t="s">
        <v>306</v>
      </c>
      <c r="G611" s="40">
        <v>370.2</v>
      </c>
      <c r="H611" s="40">
        <v>57</v>
      </c>
      <c r="I611" s="40">
        <v>287.5</v>
      </c>
      <c r="J611" s="75"/>
      <c r="K611" s="68"/>
      <c r="L611" s="68"/>
      <c r="M611" s="69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</row>
    <row r="612" spans="1:29" ht="21" customHeight="1">
      <c r="A612" s="81" t="s">
        <v>239</v>
      </c>
      <c r="B612" s="51">
        <v>808</v>
      </c>
      <c r="C612" s="52" t="s">
        <v>60</v>
      </c>
      <c r="D612" s="52" t="s">
        <v>810</v>
      </c>
      <c r="E612" s="52"/>
      <c r="F612" s="52"/>
      <c r="G612" s="40">
        <f>G613+G616+G621</f>
        <v>13297.9</v>
      </c>
      <c r="H612" s="40">
        <f>H613+H616+H621</f>
        <v>13568.100000000002</v>
      </c>
      <c r="I612" s="40">
        <f>I613+I616+I621</f>
        <v>13754.400000000001</v>
      </c>
      <c r="J612" s="75"/>
      <c r="K612" s="68"/>
      <c r="L612" s="68"/>
      <c r="M612" s="69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</row>
    <row r="613" spans="1:29" ht="38.25" customHeight="1">
      <c r="A613" s="81" t="s">
        <v>42</v>
      </c>
      <c r="B613" s="51">
        <v>808</v>
      </c>
      <c r="C613" s="52" t="s">
        <v>60</v>
      </c>
      <c r="D613" s="52" t="s">
        <v>810</v>
      </c>
      <c r="E613" s="52" t="s">
        <v>43</v>
      </c>
      <c r="F613" s="52"/>
      <c r="G613" s="40">
        <f aca="true" t="shared" si="61" ref="G613:I614">SUM(G614)</f>
        <v>4333</v>
      </c>
      <c r="H613" s="40">
        <f t="shared" si="61"/>
        <v>4283.200000000001</v>
      </c>
      <c r="I613" s="40">
        <f t="shared" si="61"/>
        <v>4294.200000000001</v>
      </c>
      <c r="J613" s="75"/>
      <c r="K613" s="68"/>
      <c r="L613" s="68"/>
      <c r="M613" s="69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</row>
    <row r="614" spans="1:29" ht="18" customHeight="1">
      <c r="A614" s="81" t="s">
        <v>47</v>
      </c>
      <c r="B614" s="51">
        <v>808</v>
      </c>
      <c r="C614" s="52" t="s">
        <v>60</v>
      </c>
      <c r="D614" s="52" t="s">
        <v>810</v>
      </c>
      <c r="E614" s="52" t="s">
        <v>45</v>
      </c>
      <c r="F614" s="52"/>
      <c r="G614" s="40">
        <f t="shared" si="61"/>
        <v>4333</v>
      </c>
      <c r="H614" s="40">
        <f t="shared" si="61"/>
        <v>4283.200000000001</v>
      </c>
      <c r="I614" s="40">
        <f t="shared" si="61"/>
        <v>4294.200000000001</v>
      </c>
      <c r="J614" s="75"/>
      <c r="K614" s="68"/>
      <c r="L614" s="68"/>
      <c r="M614" s="69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</row>
    <row r="615" spans="1:29" ht="20.25" customHeight="1">
      <c r="A615" s="82" t="s">
        <v>361</v>
      </c>
      <c r="B615" s="51">
        <v>808</v>
      </c>
      <c r="C615" s="52" t="s">
        <v>60</v>
      </c>
      <c r="D615" s="52" t="s">
        <v>810</v>
      </c>
      <c r="E615" s="52" t="s">
        <v>45</v>
      </c>
      <c r="F615" s="52" t="s">
        <v>214</v>
      </c>
      <c r="G615" s="40">
        <f>4265.9+67.1</f>
        <v>4333</v>
      </c>
      <c r="H615" s="40">
        <f>4216.1+67.1</f>
        <v>4283.200000000001</v>
      </c>
      <c r="I615" s="40">
        <f>4227.1+67.1</f>
        <v>4294.200000000001</v>
      </c>
      <c r="J615" s="75"/>
      <c r="K615" s="68"/>
      <c r="L615" s="68"/>
      <c r="M615" s="69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</row>
    <row r="616" spans="1:29" ht="39.75" customHeight="1">
      <c r="A616" s="81" t="s">
        <v>0</v>
      </c>
      <c r="B616" s="51">
        <v>808</v>
      </c>
      <c r="C616" s="52" t="s">
        <v>60</v>
      </c>
      <c r="D616" s="52" t="s">
        <v>810</v>
      </c>
      <c r="E616" s="52" t="s">
        <v>555</v>
      </c>
      <c r="F616" s="52"/>
      <c r="G616" s="40">
        <f>SUM(G617,G619)</f>
        <v>8217.1</v>
      </c>
      <c r="H616" s="40">
        <f>SUM(H617,H619)</f>
        <v>8322.2</v>
      </c>
      <c r="I616" s="40">
        <f>SUM(I617,I619)</f>
        <v>8432.2</v>
      </c>
      <c r="J616" s="75"/>
      <c r="K616" s="68"/>
      <c r="L616" s="68"/>
      <c r="M616" s="69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</row>
    <row r="617" spans="1:29" ht="21" customHeight="1">
      <c r="A617" s="85" t="s">
        <v>496</v>
      </c>
      <c r="B617" s="51">
        <v>808</v>
      </c>
      <c r="C617" s="52" t="s">
        <v>60</v>
      </c>
      <c r="D617" s="52" t="s">
        <v>810</v>
      </c>
      <c r="E617" s="52" t="s">
        <v>500</v>
      </c>
      <c r="F617" s="52"/>
      <c r="G617" s="40">
        <f>SUM(G618)</f>
        <v>60.2</v>
      </c>
      <c r="H617" s="40">
        <f>SUM(H618)</f>
        <v>60.2</v>
      </c>
      <c r="I617" s="40">
        <f>SUM(I618)</f>
        <v>60.2</v>
      </c>
      <c r="J617" s="75"/>
      <c r="K617" s="68"/>
      <c r="L617" s="68"/>
      <c r="M617" s="69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</row>
    <row r="618" spans="1:29" ht="21.75" customHeight="1">
      <c r="A618" s="81" t="s">
        <v>13</v>
      </c>
      <c r="B618" s="51">
        <v>808</v>
      </c>
      <c r="C618" s="52" t="s">
        <v>60</v>
      </c>
      <c r="D618" s="52" t="s">
        <v>810</v>
      </c>
      <c r="E618" s="52" t="s">
        <v>500</v>
      </c>
      <c r="F618" s="52" t="s">
        <v>572</v>
      </c>
      <c r="G618" s="40">
        <v>60.2</v>
      </c>
      <c r="H618" s="40">
        <v>60.2</v>
      </c>
      <c r="I618" s="40">
        <v>60.2</v>
      </c>
      <c r="J618" s="75"/>
      <c r="K618" s="68"/>
      <c r="L618" s="68"/>
      <c r="M618" s="69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</row>
    <row r="619" spans="1:29" ht="19.5" customHeight="1">
      <c r="A619" s="85" t="s">
        <v>403</v>
      </c>
      <c r="B619" s="51">
        <v>808</v>
      </c>
      <c r="C619" s="52" t="s">
        <v>60</v>
      </c>
      <c r="D619" s="52" t="s">
        <v>810</v>
      </c>
      <c r="E619" s="52" t="s">
        <v>556</v>
      </c>
      <c r="F619" s="52"/>
      <c r="G619" s="40">
        <f>SUM(G620)</f>
        <v>8156.9</v>
      </c>
      <c r="H619" s="40">
        <f>SUM(H620)</f>
        <v>8262</v>
      </c>
      <c r="I619" s="40">
        <f>SUM(I620)</f>
        <v>8372</v>
      </c>
      <c r="J619" s="75"/>
      <c r="K619" s="68"/>
      <c r="L619" s="68"/>
      <c r="M619" s="69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</row>
    <row r="620" spans="1:29" ht="19.5" customHeight="1">
      <c r="A620" s="81" t="s">
        <v>13</v>
      </c>
      <c r="B620" s="51">
        <v>808</v>
      </c>
      <c r="C620" s="52" t="s">
        <v>60</v>
      </c>
      <c r="D620" s="52" t="s">
        <v>810</v>
      </c>
      <c r="E620" s="52" t="s">
        <v>556</v>
      </c>
      <c r="F620" s="52" t="s">
        <v>572</v>
      </c>
      <c r="G620" s="40">
        <v>8156.9</v>
      </c>
      <c r="H620" s="40">
        <v>8262</v>
      </c>
      <c r="I620" s="40">
        <v>8372</v>
      </c>
      <c r="J620" s="75"/>
      <c r="K620" s="68"/>
      <c r="L620" s="68"/>
      <c r="M620" s="69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</row>
    <row r="621" spans="1:29" ht="19.5" customHeight="1">
      <c r="A621" s="86" t="s">
        <v>366</v>
      </c>
      <c r="B621" s="51">
        <v>808</v>
      </c>
      <c r="C621" s="52" t="s">
        <v>60</v>
      </c>
      <c r="D621" s="52" t="s">
        <v>810</v>
      </c>
      <c r="E621" s="52" t="s">
        <v>358</v>
      </c>
      <c r="F621" s="52"/>
      <c r="G621" s="40">
        <f>G622</f>
        <v>747.8</v>
      </c>
      <c r="H621" s="40">
        <f>H622</f>
        <v>962.7</v>
      </c>
      <c r="I621" s="40">
        <f>I622</f>
        <v>1028</v>
      </c>
      <c r="J621" s="75"/>
      <c r="K621" s="68"/>
      <c r="L621" s="68"/>
      <c r="M621" s="69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</row>
    <row r="622" spans="1:29" ht="19.5" customHeight="1">
      <c r="A622" s="86" t="s">
        <v>362</v>
      </c>
      <c r="B622" s="51">
        <v>808</v>
      </c>
      <c r="C622" s="52" t="s">
        <v>60</v>
      </c>
      <c r="D622" s="52" t="s">
        <v>810</v>
      </c>
      <c r="E622" s="52" t="s">
        <v>359</v>
      </c>
      <c r="F622" s="52"/>
      <c r="G622" s="40">
        <f>G623+G625</f>
        <v>747.8</v>
      </c>
      <c r="H622" s="40">
        <f>H623+H625</f>
        <v>962.7</v>
      </c>
      <c r="I622" s="40">
        <f>I623+I625</f>
        <v>1028</v>
      </c>
      <c r="J622" s="75"/>
      <c r="K622" s="68"/>
      <c r="L622" s="68"/>
      <c r="M622" s="69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</row>
    <row r="623" spans="1:29" ht="19.5" customHeight="1">
      <c r="A623" s="85" t="s">
        <v>216</v>
      </c>
      <c r="B623" s="51">
        <v>808</v>
      </c>
      <c r="C623" s="52" t="s">
        <v>60</v>
      </c>
      <c r="D623" s="52" t="s">
        <v>810</v>
      </c>
      <c r="E623" s="52" t="s">
        <v>369</v>
      </c>
      <c r="F623" s="52"/>
      <c r="G623" s="40">
        <f>G624</f>
        <v>662.8</v>
      </c>
      <c r="H623" s="40">
        <f>H624</f>
        <v>826.7</v>
      </c>
      <c r="I623" s="40">
        <f>I624</f>
        <v>934</v>
      </c>
      <c r="J623" s="75"/>
      <c r="K623" s="68"/>
      <c r="L623" s="68"/>
      <c r="M623" s="69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</row>
    <row r="624" spans="1:29" ht="36.75" customHeight="1">
      <c r="A624" s="50" t="s">
        <v>182</v>
      </c>
      <c r="B624" s="51">
        <v>808</v>
      </c>
      <c r="C624" s="52" t="s">
        <v>60</v>
      </c>
      <c r="D624" s="52" t="s">
        <v>810</v>
      </c>
      <c r="E624" s="52" t="s">
        <v>369</v>
      </c>
      <c r="F624" s="52" t="s">
        <v>306</v>
      </c>
      <c r="G624" s="40">
        <v>662.8</v>
      </c>
      <c r="H624" s="40">
        <v>826.7</v>
      </c>
      <c r="I624" s="40">
        <v>934</v>
      </c>
      <c r="J624" s="75"/>
      <c r="K624" s="68"/>
      <c r="L624" s="68"/>
      <c r="M624" s="69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</row>
    <row r="625" spans="1:29" ht="18.75" customHeight="1">
      <c r="A625" s="85" t="s">
        <v>781</v>
      </c>
      <c r="B625" s="51">
        <v>808</v>
      </c>
      <c r="C625" s="52" t="s">
        <v>60</v>
      </c>
      <c r="D625" s="52" t="s">
        <v>810</v>
      </c>
      <c r="E625" s="52" t="s">
        <v>365</v>
      </c>
      <c r="F625" s="52"/>
      <c r="G625" s="40">
        <f>SUM(G626)</f>
        <v>85</v>
      </c>
      <c r="H625" s="40">
        <f>SUM(H626)</f>
        <v>136</v>
      </c>
      <c r="I625" s="40">
        <f>SUM(I626)</f>
        <v>94</v>
      </c>
      <c r="J625" s="75"/>
      <c r="K625" s="68"/>
      <c r="L625" s="68"/>
      <c r="M625" s="69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</row>
    <row r="626" spans="1:29" ht="36" customHeight="1">
      <c r="A626" s="50" t="s">
        <v>254</v>
      </c>
      <c r="B626" s="51">
        <v>808</v>
      </c>
      <c r="C626" s="52" t="s">
        <v>60</v>
      </c>
      <c r="D626" s="52" t="s">
        <v>810</v>
      </c>
      <c r="E626" s="52" t="s">
        <v>365</v>
      </c>
      <c r="F626" s="52" t="s">
        <v>306</v>
      </c>
      <c r="G626" s="40">
        <v>85</v>
      </c>
      <c r="H626" s="40">
        <v>136</v>
      </c>
      <c r="I626" s="40">
        <v>94</v>
      </c>
      <c r="J626" s="75"/>
      <c r="K626" s="68"/>
      <c r="L626" s="68"/>
      <c r="M626" s="69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</row>
    <row r="627" spans="1:29" ht="20.25" customHeight="1" hidden="1">
      <c r="A627" s="86" t="s">
        <v>427</v>
      </c>
      <c r="B627" s="51">
        <v>808</v>
      </c>
      <c r="C627" s="52" t="s">
        <v>492</v>
      </c>
      <c r="D627" s="52"/>
      <c r="E627" s="52"/>
      <c r="F627" s="52"/>
      <c r="G627" s="40">
        <f aca="true" t="shared" si="62" ref="G627:I631">G628</f>
        <v>613.2</v>
      </c>
      <c r="H627" s="40">
        <f t="shared" si="62"/>
        <v>0</v>
      </c>
      <c r="I627" s="40">
        <f t="shared" si="62"/>
        <v>0</v>
      </c>
      <c r="J627" s="75"/>
      <c r="K627" s="68"/>
      <c r="L627" s="68"/>
      <c r="M627" s="69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</row>
    <row r="628" spans="1:29" ht="17.25" customHeight="1" hidden="1">
      <c r="A628" s="85" t="s">
        <v>493</v>
      </c>
      <c r="B628" s="51">
        <v>808</v>
      </c>
      <c r="C628" s="52" t="s">
        <v>492</v>
      </c>
      <c r="D628" s="52" t="s">
        <v>811</v>
      </c>
      <c r="E628" s="52"/>
      <c r="F628" s="52"/>
      <c r="G628" s="40">
        <f t="shared" si="62"/>
        <v>613.2</v>
      </c>
      <c r="H628" s="40">
        <f t="shared" si="62"/>
        <v>0</v>
      </c>
      <c r="I628" s="40">
        <f t="shared" si="62"/>
        <v>0</v>
      </c>
      <c r="J628" s="75"/>
      <c r="K628" s="68"/>
      <c r="L628" s="68"/>
      <c r="M628" s="69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</row>
    <row r="629" spans="1:29" ht="19.5" customHeight="1" hidden="1">
      <c r="A629" s="86" t="s">
        <v>366</v>
      </c>
      <c r="B629" s="51">
        <v>808</v>
      </c>
      <c r="C629" s="52" t="s">
        <v>492</v>
      </c>
      <c r="D629" s="52" t="s">
        <v>811</v>
      </c>
      <c r="E629" s="52" t="s">
        <v>358</v>
      </c>
      <c r="F629" s="52"/>
      <c r="G629" s="40">
        <f>G631</f>
        <v>613.2</v>
      </c>
      <c r="H629" s="40">
        <f>H631</f>
        <v>0</v>
      </c>
      <c r="I629" s="40">
        <f>I631</f>
        <v>0</v>
      </c>
      <c r="J629" s="75"/>
      <c r="K629" s="68"/>
      <c r="L629" s="68"/>
      <c r="M629" s="69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</row>
    <row r="630" spans="1:29" ht="19.5" customHeight="1" hidden="1">
      <c r="A630" s="86" t="s">
        <v>362</v>
      </c>
      <c r="B630" s="51">
        <v>808</v>
      </c>
      <c r="C630" s="52" t="s">
        <v>492</v>
      </c>
      <c r="D630" s="52" t="s">
        <v>811</v>
      </c>
      <c r="E630" s="52" t="s">
        <v>359</v>
      </c>
      <c r="F630" s="52"/>
      <c r="G630" s="40">
        <f>G631</f>
        <v>613.2</v>
      </c>
      <c r="H630" s="40">
        <f>H631</f>
        <v>0</v>
      </c>
      <c r="I630" s="40">
        <f>I631</f>
        <v>0</v>
      </c>
      <c r="J630" s="75"/>
      <c r="K630" s="68"/>
      <c r="L630" s="68"/>
      <c r="M630" s="69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</row>
    <row r="631" spans="1:29" ht="18" customHeight="1" hidden="1">
      <c r="A631" s="82" t="s">
        <v>367</v>
      </c>
      <c r="B631" s="51">
        <v>808</v>
      </c>
      <c r="C631" s="52" t="s">
        <v>492</v>
      </c>
      <c r="D631" s="52" t="s">
        <v>811</v>
      </c>
      <c r="E631" s="52" t="s">
        <v>368</v>
      </c>
      <c r="F631" s="52"/>
      <c r="G631" s="40">
        <f t="shared" si="62"/>
        <v>613.2</v>
      </c>
      <c r="H631" s="40">
        <f t="shared" si="62"/>
        <v>0</v>
      </c>
      <c r="I631" s="40">
        <f t="shared" si="62"/>
        <v>0</v>
      </c>
      <c r="J631" s="75"/>
      <c r="K631" s="68"/>
      <c r="L631" s="68"/>
      <c r="M631" s="69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</row>
    <row r="632" spans="1:29" ht="19.5" customHeight="1" hidden="1">
      <c r="A632" s="82" t="s">
        <v>524</v>
      </c>
      <c r="B632" s="51">
        <v>808</v>
      </c>
      <c r="C632" s="52" t="s">
        <v>492</v>
      </c>
      <c r="D632" s="52" t="s">
        <v>811</v>
      </c>
      <c r="E632" s="52" t="s">
        <v>368</v>
      </c>
      <c r="F632" s="52" t="s">
        <v>55</v>
      </c>
      <c r="G632" s="40">
        <v>613.2</v>
      </c>
      <c r="H632" s="40"/>
      <c r="I632" s="40"/>
      <c r="J632" s="75"/>
      <c r="K632" s="68"/>
      <c r="L632" s="68"/>
      <c r="M632" s="69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</row>
    <row r="633" spans="1:29" ht="20.25" customHeight="1">
      <c r="A633" s="63" t="s">
        <v>107</v>
      </c>
      <c r="B633" s="51">
        <v>809</v>
      </c>
      <c r="C633" s="52"/>
      <c r="D633" s="52"/>
      <c r="E633" s="52"/>
      <c r="F633" s="52"/>
      <c r="G633" s="40">
        <f>SUM(G644,G672,G634,G666)</f>
        <v>390889.4</v>
      </c>
      <c r="H633" s="40">
        <f>SUM(H644,H672,H634,H666)</f>
        <v>375751.4</v>
      </c>
      <c r="I633" s="40">
        <f>SUM(I644,I672,I634,I666)</f>
        <v>383701.7</v>
      </c>
      <c r="J633" s="75"/>
      <c r="K633" s="97"/>
      <c r="L633" s="68"/>
      <c r="M633" s="69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</row>
    <row r="634" spans="1:29" ht="20.25" customHeight="1" hidden="1">
      <c r="A634" s="63" t="s">
        <v>432</v>
      </c>
      <c r="B634" s="51">
        <v>809</v>
      </c>
      <c r="C634" s="52" t="s">
        <v>810</v>
      </c>
      <c r="D634" s="52"/>
      <c r="E634" s="52"/>
      <c r="F634" s="52"/>
      <c r="G634" s="40">
        <f>G635</f>
        <v>0</v>
      </c>
      <c r="H634" s="40">
        <f>H635</f>
        <v>0</v>
      </c>
      <c r="I634" s="40">
        <f>I635</f>
        <v>0</v>
      </c>
      <c r="J634" s="75"/>
      <c r="K634" s="97"/>
      <c r="L634" s="68"/>
      <c r="M634" s="69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</row>
    <row r="635" spans="1:29" ht="20.25" customHeight="1" hidden="1">
      <c r="A635" s="82" t="s">
        <v>773</v>
      </c>
      <c r="B635" s="51">
        <v>809</v>
      </c>
      <c r="C635" s="52" t="s">
        <v>810</v>
      </c>
      <c r="D635" s="52" t="s">
        <v>807</v>
      </c>
      <c r="E635" s="52"/>
      <c r="F635" s="52"/>
      <c r="G635" s="40">
        <f>G636+G641</f>
        <v>0</v>
      </c>
      <c r="H635" s="40">
        <f>H636+H641</f>
        <v>0</v>
      </c>
      <c r="I635" s="40">
        <f>I636+I641</f>
        <v>0</v>
      </c>
      <c r="J635" s="75"/>
      <c r="K635" s="97"/>
      <c r="L635" s="68"/>
      <c r="M635" s="69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</row>
    <row r="636" spans="1:29" ht="20.25" customHeight="1" hidden="1">
      <c r="A636" s="82" t="s">
        <v>775</v>
      </c>
      <c r="B636" s="51">
        <v>809</v>
      </c>
      <c r="C636" s="52" t="s">
        <v>810</v>
      </c>
      <c r="D636" s="52" t="s">
        <v>807</v>
      </c>
      <c r="E636" s="52" t="s">
        <v>774</v>
      </c>
      <c r="F636" s="52"/>
      <c r="G636" s="40">
        <f>G637+G639</f>
        <v>0</v>
      </c>
      <c r="H636" s="40">
        <f>H637+H639</f>
        <v>0</v>
      </c>
      <c r="I636" s="40">
        <f>I637+I639</f>
        <v>0</v>
      </c>
      <c r="J636" s="75"/>
      <c r="K636" s="97"/>
      <c r="L636" s="68"/>
      <c r="M636" s="69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</row>
    <row r="637" spans="1:29" ht="20.25" customHeight="1" hidden="1">
      <c r="A637" s="82" t="s">
        <v>777</v>
      </c>
      <c r="B637" s="51">
        <v>809</v>
      </c>
      <c r="C637" s="52" t="s">
        <v>810</v>
      </c>
      <c r="D637" s="52" t="s">
        <v>807</v>
      </c>
      <c r="E637" s="52" t="s">
        <v>776</v>
      </c>
      <c r="F637" s="52"/>
      <c r="G637" s="40">
        <f>G638</f>
        <v>0</v>
      </c>
      <c r="H637" s="40">
        <f>H638</f>
        <v>0</v>
      </c>
      <c r="I637" s="40">
        <f>I638</f>
        <v>0</v>
      </c>
      <c r="J637" s="75"/>
      <c r="K637" s="97"/>
      <c r="L637" s="68"/>
      <c r="M637" s="69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</row>
    <row r="638" spans="1:29" ht="20.25" customHeight="1" hidden="1">
      <c r="A638" s="81" t="s">
        <v>13</v>
      </c>
      <c r="B638" s="51">
        <v>809</v>
      </c>
      <c r="C638" s="52" t="s">
        <v>810</v>
      </c>
      <c r="D638" s="52" t="s">
        <v>807</v>
      </c>
      <c r="E638" s="52" t="s">
        <v>776</v>
      </c>
      <c r="F638" s="52" t="s">
        <v>572</v>
      </c>
      <c r="G638" s="40"/>
      <c r="H638" s="40"/>
      <c r="I638" s="40"/>
      <c r="J638" s="75"/>
      <c r="K638" s="97"/>
      <c r="L638" s="68"/>
      <c r="M638" s="69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</row>
    <row r="639" spans="1:29" ht="36.75" customHeight="1" hidden="1">
      <c r="A639" s="81" t="s">
        <v>597</v>
      </c>
      <c r="B639" s="51">
        <v>809</v>
      </c>
      <c r="C639" s="52" t="s">
        <v>810</v>
      </c>
      <c r="D639" s="52" t="s">
        <v>807</v>
      </c>
      <c r="E639" s="52" t="s">
        <v>596</v>
      </c>
      <c r="F639" s="52"/>
      <c r="G639" s="40">
        <f>SUM(G640)</f>
        <v>0</v>
      </c>
      <c r="H639" s="40">
        <f>SUM(H640)</f>
        <v>0</v>
      </c>
      <c r="I639" s="40">
        <f>SUM(I640)</f>
        <v>0</v>
      </c>
      <c r="J639" s="75"/>
      <c r="K639" s="97"/>
      <c r="L639" s="68"/>
      <c r="M639" s="69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</row>
    <row r="640" spans="1:29" ht="20.25" customHeight="1" hidden="1">
      <c r="A640" s="81" t="s">
        <v>13</v>
      </c>
      <c r="B640" s="51">
        <v>809</v>
      </c>
      <c r="C640" s="52" t="s">
        <v>810</v>
      </c>
      <c r="D640" s="52" t="s">
        <v>807</v>
      </c>
      <c r="E640" s="52" t="s">
        <v>596</v>
      </c>
      <c r="F640" s="52" t="s">
        <v>572</v>
      </c>
      <c r="G640" s="40"/>
      <c r="H640" s="40"/>
      <c r="I640" s="40"/>
      <c r="J640" s="75"/>
      <c r="K640" s="97"/>
      <c r="L640" s="112"/>
      <c r="M640" s="69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</row>
    <row r="641" spans="1:29" ht="20.25" customHeight="1" hidden="1">
      <c r="A641" s="81" t="s">
        <v>297</v>
      </c>
      <c r="B641" s="51">
        <v>809</v>
      </c>
      <c r="C641" s="52" t="s">
        <v>810</v>
      </c>
      <c r="D641" s="52" t="s">
        <v>807</v>
      </c>
      <c r="E641" s="52" t="s">
        <v>395</v>
      </c>
      <c r="F641" s="52"/>
      <c r="G641" s="40">
        <f aca="true" t="shared" si="63" ref="G641:I642">SUM(G642)</f>
        <v>0</v>
      </c>
      <c r="H641" s="40">
        <f t="shared" si="63"/>
        <v>0</v>
      </c>
      <c r="I641" s="40">
        <f t="shared" si="63"/>
        <v>0</v>
      </c>
      <c r="J641" s="75"/>
      <c r="K641" s="97"/>
      <c r="L641" s="68"/>
      <c r="M641" s="69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</row>
    <row r="642" spans="1:29" ht="36.75" customHeight="1" hidden="1">
      <c r="A642" s="81" t="s">
        <v>599</v>
      </c>
      <c r="B642" s="51">
        <v>809</v>
      </c>
      <c r="C642" s="52" t="s">
        <v>810</v>
      </c>
      <c r="D642" s="52" t="s">
        <v>807</v>
      </c>
      <c r="E642" s="52" t="s">
        <v>601</v>
      </c>
      <c r="F642" s="52"/>
      <c r="G642" s="40">
        <f t="shared" si="63"/>
        <v>0</v>
      </c>
      <c r="H642" s="40">
        <f t="shared" si="63"/>
        <v>0</v>
      </c>
      <c r="I642" s="40">
        <f t="shared" si="63"/>
        <v>0</v>
      </c>
      <c r="J642" s="75"/>
      <c r="K642" s="97"/>
      <c r="L642" s="68"/>
      <c r="M642" s="69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</row>
    <row r="643" spans="1:29" ht="20.25" customHeight="1" hidden="1">
      <c r="A643" s="81" t="s">
        <v>13</v>
      </c>
      <c r="B643" s="51">
        <v>809</v>
      </c>
      <c r="C643" s="52" t="s">
        <v>810</v>
      </c>
      <c r="D643" s="52" t="s">
        <v>807</v>
      </c>
      <c r="E643" s="52" t="s">
        <v>601</v>
      </c>
      <c r="F643" s="52" t="s">
        <v>572</v>
      </c>
      <c r="G643" s="40"/>
      <c r="H643" s="40"/>
      <c r="I643" s="40"/>
      <c r="J643" s="75"/>
      <c r="K643" s="97"/>
      <c r="L643" s="68"/>
      <c r="M643" s="69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</row>
    <row r="644" spans="1:29" ht="18" customHeight="1">
      <c r="A644" s="85" t="s">
        <v>426</v>
      </c>
      <c r="B644" s="51">
        <v>809</v>
      </c>
      <c r="C644" s="52" t="s">
        <v>529</v>
      </c>
      <c r="D644" s="52"/>
      <c r="E644" s="52"/>
      <c r="F644" s="52"/>
      <c r="G644" s="40">
        <f>SUM(G645,G661,G653)</f>
        <v>103715.90000000001</v>
      </c>
      <c r="H644" s="40">
        <f>SUM(H645,H661,H653)</f>
        <v>97341.6</v>
      </c>
      <c r="I644" s="40">
        <f>SUM(I645,I661,I653)</f>
        <v>98928.70000000001</v>
      </c>
      <c r="J644" s="75"/>
      <c r="K644" s="97"/>
      <c r="L644" s="68"/>
      <c r="M644" s="69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</row>
    <row r="645" spans="1:29" ht="16.5" customHeight="1">
      <c r="A645" s="85" t="s">
        <v>121</v>
      </c>
      <c r="B645" s="51">
        <v>809</v>
      </c>
      <c r="C645" s="52" t="s">
        <v>529</v>
      </c>
      <c r="D645" s="52" t="s">
        <v>808</v>
      </c>
      <c r="E645" s="52"/>
      <c r="F645" s="52"/>
      <c r="G645" s="40">
        <f>SUM(G646,)</f>
        <v>99370.70000000001</v>
      </c>
      <c r="H645" s="40">
        <f>SUM(H646,)</f>
        <v>97341.6</v>
      </c>
      <c r="I645" s="40">
        <f>SUM(I646,)</f>
        <v>98928.70000000001</v>
      </c>
      <c r="J645" s="75"/>
      <c r="K645" s="97"/>
      <c r="L645" s="68"/>
      <c r="M645" s="69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</row>
    <row r="646" spans="1:36" s="89" customFormat="1" ht="21.75" customHeight="1">
      <c r="A646" s="85" t="s">
        <v>484</v>
      </c>
      <c r="B646" s="51">
        <v>809</v>
      </c>
      <c r="C646" s="52" t="s">
        <v>529</v>
      </c>
      <c r="D646" s="52" t="s">
        <v>808</v>
      </c>
      <c r="E646" s="52" t="s">
        <v>462</v>
      </c>
      <c r="F646" s="52"/>
      <c r="G646" s="40">
        <f>SUM(G647,G649)</f>
        <v>99370.70000000001</v>
      </c>
      <c r="H646" s="40">
        <f>SUM(H647,H649)</f>
        <v>97341.6</v>
      </c>
      <c r="I646" s="40">
        <f>SUM(I647,I649)</f>
        <v>98928.70000000001</v>
      </c>
      <c r="J646" s="75"/>
      <c r="K646" s="97"/>
      <c r="L646" s="68"/>
      <c r="M646" s="69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</row>
    <row r="647" spans="1:36" s="90" customFormat="1" ht="20.25" customHeight="1">
      <c r="A647" s="85" t="s">
        <v>496</v>
      </c>
      <c r="B647" s="51">
        <v>809</v>
      </c>
      <c r="C647" s="52" t="s">
        <v>529</v>
      </c>
      <c r="D647" s="52" t="s">
        <v>808</v>
      </c>
      <c r="E647" s="52" t="s">
        <v>499</v>
      </c>
      <c r="F647" s="52"/>
      <c r="G647" s="40">
        <f>SUM(G648)</f>
        <v>768.6</v>
      </c>
      <c r="H647" s="40">
        <f>SUM(H648)</f>
        <v>768.6</v>
      </c>
      <c r="I647" s="40">
        <f>SUM(I648)</f>
        <v>768.6</v>
      </c>
      <c r="J647" s="75"/>
      <c r="K647" s="97"/>
      <c r="L647" s="68"/>
      <c r="M647" s="69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</row>
    <row r="648" spans="1:29" ht="18.75" customHeight="1">
      <c r="A648" s="81" t="s">
        <v>13</v>
      </c>
      <c r="B648" s="51">
        <v>809</v>
      </c>
      <c r="C648" s="52" t="s">
        <v>529</v>
      </c>
      <c r="D648" s="52" t="s">
        <v>808</v>
      </c>
      <c r="E648" s="52" t="s">
        <v>499</v>
      </c>
      <c r="F648" s="52" t="s">
        <v>572</v>
      </c>
      <c r="G648" s="40">
        <v>768.6</v>
      </c>
      <c r="H648" s="40">
        <v>768.6</v>
      </c>
      <c r="I648" s="40">
        <v>768.6</v>
      </c>
      <c r="J648" s="75"/>
      <c r="K648" s="97"/>
      <c r="L648" s="68"/>
      <c r="M648" s="69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</row>
    <row r="649" spans="1:29" ht="18" customHeight="1">
      <c r="A649" s="85" t="s">
        <v>403</v>
      </c>
      <c r="B649" s="51">
        <v>809</v>
      </c>
      <c r="C649" s="52" t="s">
        <v>529</v>
      </c>
      <c r="D649" s="52" t="s">
        <v>808</v>
      </c>
      <c r="E649" s="52" t="s">
        <v>463</v>
      </c>
      <c r="F649" s="52"/>
      <c r="G649" s="40">
        <f>G650+G651+G652</f>
        <v>98602.1</v>
      </c>
      <c r="H649" s="40">
        <f>H650+H651+H652</f>
        <v>96573</v>
      </c>
      <c r="I649" s="40">
        <f>I650+I651+I652</f>
        <v>98160.1</v>
      </c>
      <c r="J649" s="75"/>
      <c r="K649" s="97"/>
      <c r="L649" s="68"/>
      <c r="M649" s="69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</row>
    <row r="650" spans="1:29" ht="20.25" customHeight="1">
      <c r="A650" s="81" t="s">
        <v>159</v>
      </c>
      <c r="B650" s="51">
        <v>809</v>
      </c>
      <c r="C650" s="52" t="s">
        <v>529</v>
      </c>
      <c r="D650" s="52" t="s">
        <v>808</v>
      </c>
      <c r="E650" s="52" t="s">
        <v>463</v>
      </c>
      <c r="F650" s="52" t="s">
        <v>572</v>
      </c>
      <c r="G650" s="40">
        <v>98602.1</v>
      </c>
      <c r="H650" s="40">
        <v>96573</v>
      </c>
      <c r="I650" s="40">
        <v>98160.1</v>
      </c>
      <c r="J650" s="75"/>
      <c r="K650" s="68"/>
      <c r="L650" s="68"/>
      <c r="M650" s="69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</row>
    <row r="651" spans="1:29" ht="33.75" customHeight="1" hidden="1">
      <c r="A651" s="99" t="s">
        <v>581</v>
      </c>
      <c r="B651" s="51">
        <v>809</v>
      </c>
      <c r="C651" s="52" t="s">
        <v>529</v>
      </c>
      <c r="D651" s="52" t="s">
        <v>808</v>
      </c>
      <c r="E651" s="52" t="s">
        <v>463</v>
      </c>
      <c r="F651" s="52" t="s">
        <v>580</v>
      </c>
      <c r="G651" s="40"/>
      <c r="H651" s="40"/>
      <c r="I651" s="40"/>
      <c r="J651" s="113" t="s">
        <v>582</v>
      </c>
      <c r="K651" s="68"/>
      <c r="L651" s="68"/>
      <c r="M651" s="69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</row>
    <row r="652" spans="1:29" ht="20.25" customHeight="1" hidden="1">
      <c r="A652" s="102" t="s">
        <v>587</v>
      </c>
      <c r="B652" s="51">
        <v>809</v>
      </c>
      <c r="C652" s="52" t="s">
        <v>529</v>
      </c>
      <c r="D652" s="52" t="s">
        <v>808</v>
      </c>
      <c r="E652" s="52" t="s">
        <v>463</v>
      </c>
      <c r="F652" s="52" t="s">
        <v>588</v>
      </c>
      <c r="G652" s="40"/>
      <c r="H652" s="40"/>
      <c r="I652" s="40"/>
      <c r="J652" s="75"/>
      <c r="K652" s="68"/>
      <c r="L652" s="68"/>
      <c r="M652" s="69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</row>
    <row r="653" spans="1:29" ht="19.5" customHeight="1" hidden="1">
      <c r="A653" s="85" t="s">
        <v>250</v>
      </c>
      <c r="B653" s="51">
        <v>809</v>
      </c>
      <c r="C653" s="52" t="s">
        <v>529</v>
      </c>
      <c r="D653" s="52" t="s">
        <v>529</v>
      </c>
      <c r="E653" s="52"/>
      <c r="F653" s="52"/>
      <c r="G653" s="40">
        <f>G654+G657</f>
        <v>0</v>
      </c>
      <c r="H653" s="40">
        <f>H654+H657</f>
        <v>0</v>
      </c>
      <c r="I653" s="40">
        <f>I654+I657</f>
        <v>0</v>
      </c>
      <c r="J653" s="75"/>
      <c r="K653" s="68"/>
      <c r="L653" s="68"/>
      <c r="M653" s="69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</row>
    <row r="654" spans="1:29" ht="19.5" customHeight="1" hidden="1">
      <c r="A654" s="81" t="s">
        <v>226</v>
      </c>
      <c r="B654" s="51">
        <v>809</v>
      </c>
      <c r="C654" s="52" t="s">
        <v>529</v>
      </c>
      <c r="D654" s="52" t="s">
        <v>529</v>
      </c>
      <c r="E654" s="52" t="s">
        <v>494</v>
      </c>
      <c r="F654" s="52"/>
      <c r="G654" s="40">
        <f aca="true" t="shared" si="64" ref="G654:I655">G655</f>
        <v>0</v>
      </c>
      <c r="H654" s="40">
        <f t="shared" si="64"/>
        <v>0</v>
      </c>
      <c r="I654" s="40">
        <f t="shared" si="64"/>
        <v>0</v>
      </c>
      <c r="J654" s="75"/>
      <c r="K654" s="68"/>
      <c r="L654" s="68"/>
      <c r="M654" s="69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</row>
    <row r="655" spans="1:29" ht="19.5" customHeight="1" hidden="1">
      <c r="A655" s="86" t="s">
        <v>323</v>
      </c>
      <c r="B655" s="51">
        <v>809</v>
      </c>
      <c r="C655" s="52" t="s">
        <v>529</v>
      </c>
      <c r="D655" s="52" t="s">
        <v>529</v>
      </c>
      <c r="E655" s="52" t="s">
        <v>537</v>
      </c>
      <c r="F655" s="52"/>
      <c r="G655" s="40">
        <f t="shared" si="64"/>
        <v>0</v>
      </c>
      <c r="H655" s="40">
        <f t="shared" si="64"/>
        <v>0</v>
      </c>
      <c r="I655" s="40">
        <f t="shared" si="64"/>
        <v>0</v>
      </c>
      <c r="J655" s="75"/>
      <c r="K655" s="68"/>
      <c r="L655" s="68"/>
      <c r="M655" s="69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</row>
    <row r="656" spans="1:29" ht="19.5" customHeight="1" hidden="1">
      <c r="A656" s="85" t="s">
        <v>560</v>
      </c>
      <c r="B656" s="51">
        <v>809</v>
      </c>
      <c r="C656" s="52" t="s">
        <v>529</v>
      </c>
      <c r="D656" s="52" t="s">
        <v>529</v>
      </c>
      <c r="E656" s="52" t="s">
        <v>537</v>
      </c>
      <c r="F656" s="52" t="s">
        <v>559</v>
      </c>
      <c r="G656" s="40"/>
      <c r="H656" s="40"/>
      <c r="I656" s="40"/>
      <c r="J656" s="75"/>
      <c r="K656" s="68"/>
      <c r="L656" s="68"/>
      <c r="M656" s="69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</row>
    <row r="657" spans="1:29" ht="19.5" customHeight="1" hidden="1">
      <c r="A657" s="82" t="s">
        <v>69</v>
      </c>
      <c r="B657" s="51">
        <v>809</v>
      </c>
      <c r="C657" s="52" t="s">
        <v>529</v>
      </c>
      <c r="D657" s="52" t="s">
        <v>529</v>
      </c>
      <c r="E657" s="52" t="s">
        <v>48</v>
      </c>
      <c r="F657" s="52"/>
      <c r="G657" s="40">
        <f>SUM(G658)</f>
        <v>0</v>
      </c>
      <c r="H657" s="40">
        <f aca="true" t="shared" si="65" ref="H657:I659">SUM(H658)</f>
        <v>0</v>
      </c>
      <c r="I657" s="40">
        <f t="shared" si="65"/>
        <v>0</v>
      </c>
      <c r="J657" s="75"/>
      <c r="K657" s="68"/>
      <c r="L657" s="68"/>
      <c r="M657" s="69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</row>
    <row r="658" spans="1:29" ht="53.25" customHeight="1" hidden="1">
      <c r="A658" s="81" t="s">
        <v>50</v>
      </c>
      <c r="B658" s="51">
        <v>809</v>
      </c>
      <c r="C658" s="52" t="s">
        <v>529</v>
      </c>
      <c r="D658" s="52" t="s">
        <v>529</v>
      </c>
      <c r="E658" s="52" t="s">
        <v>49</v>
      </c>
      <c r="F658" s="52"/>
      <c r="G658" s="40">
        <f>SUM(G659)</f>
        <v>0</v>
      </c>
      <c r="H658" s="40">
        <f t="shared" si="65"/>
        <v>0</v>
      </c>
      <c r="I658" s="40">
        <f t="shared" si="65"/>
        <v>0</v>
      </c>
      <c r="J658" s="75"/>
      <c r="K658" s="68"/>
      <c r="L658" s="68"/>
      <c r="M658" s="69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</row>
    <row r="659" spans="1:29" ht="84" customHeight="1" hidden="1">
      <c r="A659" s="50" t="s">
        <v>258</v>
      </c>
      <c r="B659" s="51">
        <v>809</v>
      </c>
      <c r="C659" s="52" t="s">
        <v>529</v>
      </c>
      <c r="D659" s="52" t="s">
        <v>529</v>
      </c>
      <c r="E659" s="52" t="s">
        <v>96</v>
      </c>
      <c r="F659" s="52"/>
      <c r="G659" s="40">
        <f>SUM(G660)</f>
        <v>0</v>
      </c>
      <c r="H659" s="40">
        <f t="shared" si="65"/>
        <v>0</v>
      </c>
      <c r="I659" s="40">
        <f t="shared" si="65"/>
        <v>0</v>
      </c>
      <c r="J659" s="75"/>
      <c r="K659" s="68"/>
      <c r="L659" s="68"/>
      <c r="M659" s="69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</row>
    <row r="660" spans="1:29" ht="19.5" customHeight="1" hidden="1">
      <c r="A660" s="105" t="s">
        <v>152</v>
      </c>
      <c r="B660" s="51">
        <v>809</v>
      </c>
      <c r="C660" s="52" t="s">
        <v>529</v>
      </c>
      <c r="D660" s="52" t="s">
        <v>529</v>
      </c>
      <c r="E660" s="52" t="s">
        <v>96</v>
      </c>
      <c r="F660" s="52" t="s">
        <v>212</v>
      </c>
      <c r="G660" s="40"/>
      <c r="H660" s="40"/>
      <c r="I660" s="40"/>
      <c r="J660" s="75"/>
      <c r="K660" s="68"/>
      <c r="L660" s="68"/>
      <c r="M660" s="69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</row>
    <row r="661" spans="1:29" ht="19.5" customHeight="1" hidden="1">
      <c r="A661" s="85" t="s">
        <v>122</v>
      </c>
      <c r="B661" s="106">
        <v>809</v>
      </c>
      <c r="C661" s="83" t="s">
        <v>529</v>
      </c>
      <c r="D661" s="83" t="s">
        <v>57</v>
      </c>
      <c r="E661" s="83"/>
      <c r="F661" s="83"/>
      <c r="G661" s="40">
        <f aca="true" t="shared" si="66" ref="G661:I662">SUM(G662)</f>
        <v>4345.2</v>
      </c>
      <c r="H661" s="40">
        <f t="shared" si="66"/>
        <v>0</v>
      </c>
      <c r="I661" s="40">
        <f t="shared" si="66"/>
        <v>0</v>
      </c>
      <c r="J661" s="75"/>
      <c r="K661" s="68"/>
      <c r="L661" s="68"/>
      <c r="M661" s="69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</row>
    <row r="662" spans="1:29" ht="18.75" customHeight="1" hidden="1">
      <c r="A662" s="86" t="s">
        <v>364</v>
      </c>
      <c r="B662" s="106">
        <v>809</v>
      </c>
      <c r="C662" s="83" t="s">
        <v>529</v>
      </c>
      <c r="D662" s="83" t="s">
        <v>57</v>
      </c>
      <c r="E662" s="52" t="s">
        <v>358</v>
      </c>
      <c r="F662" s="52"/>
      <c r="G662" s="40">
        <f t="shared" si="66"/>
        <v>4345.2</v>
      </c>
      <c r="H662" s="40">
        <f t="shared" si="66"/>
        <v>0</v>
      </c>
      <c r="I662" s="40">
        <f t="shared" si="66"/>
        <v>0</v>
      </c>
      <c r="J662" s="75"/>
      <c r="K662" s="68"/>
      <c r="L662" s="68"/>
      <c r="M662" s="69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</row>
    <row r="663" spans="1:29" ht="21.75" customHeight="1" hidden="1">
      <c r="A663" s="86" t="s">
        <v>394</v>
      </c>
      <c r="B663" s="106">
        <v>809</v>
      </c>
      <c r="C663" s="83" t="s">
        <v>529</v>
      </c>
      <c r="D663" s="83" t="s">
        <v>57</v>
      </c>
      <c r="E663" s="52" t="s">
        <v>359</v>
      </c>
      <c r="F663" s="52"/>
      <c r="G663" s="40">
        <f aca="true" t="shared" si="67" ref="G663:I664">G664</f>
        <v>4345.2</v>
      </c>
      <c r="H663" s="40">
        <f t="shared" si="67"/>
        <v>0</v>
      </c>
      <c r="I663" s="40">
        <f t="shared" si="67"/>
        <v>0</v>
      </c>
      <c r="J663" s="75"/>
      <c r="K663" s="68"/>
      <c r="L663" s="68"/>
      <c r="M663" s="69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</row>
    <row r="664" spans="1:29" ht="21.75" customHeight="1" hidden="1">
      <c r="A664" s="85" t="s">
        <v>795</v>
      </c>
      <c r="B664" s="106">
        <v>809</v>
      </c>
      <c r="C664" s="83" t="s">
        <v>529</v>
      </c>
      <c r="D664" s="83" t="s">
        <v>57</v>
      </c>
      <c r="E664" s="52" t="s">
        <v>363</v>
      </c>
      <c r="F664" s="52"/>
      <c r="G664" s="40">
        <f t="shared" si="67"/>
        <v>4345.2</v>
      </c>
      <c r="H664" s="40">
        <f t="shared" si="67"/>
        <v>0</v>
      </c>
      <c r="I664" s="40">
        <f t="shared" si="67"/>
        <v>0</v>
      </c>
      <c r="J664" s="75"/>
      <c r="K664" s="68"/>
      <c r="L664" s="68"/>
      <c r="M664" s="69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</row>
    <row r="665" spans="1:29" ht="18.75" customHeight="1" hidden="1">
      <c r="A665" s="82" t="s">
        <v>522</v>
      </c>
      <c r="B665" s="106">
        <v>809</v>
      </c>
      <c r="C665" s="83" t="s">
        <v>529</v>
      </c>
      <c r="D665" s="83" t="s">
        <v>57</v>
      </c>
      <c r="E665" s="52" t="s">
        <v>363</v>
      </c>
      <c r="F665" s="52" t="s">
        <v>120</v>
      </c>
      <c r="G665" s="40">
        <v>4345.2</v>
      </c>
      <c r="H665" s="40"/>
      <c r="I665" s="40"/>
      <c r="J665" s="75"/>
      <c r="K665" s="68"/>
      <c r="L665" s="68"/>
      <c r="M665" s="69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</row>
    <row r="666" spans="1:29" ht="19.5" customHeight="1">
      <c r="A666" s="86" t="s">
        <v>427</v>
      </c>
      <c r="B666" s="51">
        <v>809</v>
      </c>
      <c r="C666" s="52" t="s">
        <v>492</v>
      </c>
      <c r="D666" s="52"/>
      <c r="E666" s="52"/>
      <c r="F666" s="52"/>
      <c r="G666" s="40">
        <f aca="true" t="shared" si="68" ref="G666:I670">G667</f>
        <v>992</v>
      </c>
      <c r="H666" s="40">
        <f t="shared" si="68"/>
        <v>980</v>
      </c>
      <c r="I666" s="40">
        <f t="shared" si="68"/>
        <v>1000</v>
      </c>
      <c r="J666" s="75"/>
      <c r="K666" s="69"/>
      <c r="L666" s="68"/>
      <c r="M666" s="69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</row>
    <row r="667" spans="1:29" ht="19.5" customHeight="1">
      <c r="A667" s="85" t="s">
        <v>493</v>
      </c>
      <c r="B667" s="51">
        <v>809</v>
      </c>
      <c r="C667" s="52" t="s">
        <v>492</v>
      </c>
      <c r="D667" s="52" t="s">
        <v>811</v>
      </c>
      <c r="E667" s="52"/>
      <c r="F667" s="52"/>
      <c r="G667" s="40">
        <f t="shared" si="68"/>
        <v>992</v>
      </c>
      <c r="H667" s="40">
        <f t="shared" si="68"/>
        <v>980</v>
      </c>
      <c r="I667" s="40">
        <f t="shared" si="68"/>
        <v>1000</v>
      </c>
      <c r="J667" s="75"/>
      <c r="K667" s="69"/>
      <c r="L667" s="68"/>
      <c r="M667" s="69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</row>
    <row r="668" spans="1:29" ht="19.5" customHeight="1">
      <c r="A668" s="86" t="s">
        <v>366</v>
      </c>
      <c r="B668" s="51">
        <v>809</v>
      </c>
      <c r="C668" s="52" t="s">
        <v>492</v>
      </c>
      <c r="D668" s="52" t="s">
        <v>811</v>
      </c>
      <c r="E668" s="52" t="s">
        <v>358</v>
      </c>
      <c r="F668" s="52"/>
      <c r="G668" s="40">
        <f t="shared" si="68"/>
        <v>992</v>
      </c>
      <c r="H668" s="40">
        <f t="shared" si="68"/>
        <v>980</v>
      </c>
      <c r="I668" s="40">
        <f t="shared" si="68"/>
        <v>1000</v>
      </c>
      <c r="J668" s="75"/>
      <c r="K668" s="69"/>
      <c r="L668" s="68"/>
      <c r="M668" s="69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</row>
    <row r="669" spans="1:29" ht="19.5" customHeight="1">
      <c r="A669" s="86" t="s">
        <v>362</v>
      </c>
      <c r="B669" s="51">
        <v>809</v>
      </c>
      <c r="C669" s="52" t="s">
        <v>492</v>
      </c>
      <c r="D669" s="52" t="s">
        <v>811</v>
      </c>
      <c r="E669" s="52" t="s">
        <v>359</v>
      </c>
      <c r="F669" s="52"/>
      <c r="G669" s="40">
        <f t="shared" si="68"/>
        <v>992</v>
      </c>
      <c r="H669" s="40">
        <f t="shared" si="68"/>
        <v>980</v>
      </c>
      <c r="I669" s="40">
        <f t="shared" si="68"/>
        <v>1000</v>
      </c>
      <c r="J669" s="75"/>
      <c r="K669" s="69"/>
      <c r="L669" s="68"/>
      <c r="M669" s="69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</row>
    <row r="670" spans="1:29" ht="19.5" customHeight="1">
      <c r="A670" s="82" t="s">
        <v>367</v>
      </c>
      <c r="B670" s="51">
        <v>809</v>
      </c>
      <c r="C670" s="52" t="s">
        <v>492</v>
      </c>
      <c r="D670" s="52" t="s">
        <v>811</v>
      </c>
      <c r="E670" s="52" t="s">
        <v>368</v>
      </c>
      <c r="F670" s="52"/>
      <c r="G670" s="40">
        <f t="shared" si="68"/>
        <v>992</v>
      </c>
      <c r="H670" s="40">
        <f t="shared" si="68"/>
        <v>980</v>
      </c>
      <c r="I670" s="40">
        <f t="shared" si="68"/>
        <v>1000</v>
      </c>
      <c r="J670" s="75"/>
      <c r="K670" s="69"/>
      <c r="L670" s="68"/>
      <c r="M670" s="69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</row>
    <row r="671" spans="1:29" ht="19.5" customHeight="1">
      <c r="A671" s="50" t="s">
        <v>256</v>
      </c>
      <c r="B671" s="51">
        <v>809</v>
      </c>
      <c r="C671" s="52" t="s">
        <v>492</v>
      </c>
      <c r="D671" s="52" t="s">
        <v>811</v>
      </c>
      <c r="E671" s="52" t="s">
        <v>368</v>
      </c>
      <c r="F671" s="52" t="s">
        <v>257</v>
      </c>
      <c r="G671" s="40">
        <v>992</v>
      </c>
      <c r="H671" s="40">
        <v>980</v>
      </c>
      <c r="I671" s="40">
        <v>1000</v>
      </c>
      <c r="J671" s="75"/>
      <c r="K671" s="69"/>
      <c r="L671" s="68"/>
      <c r="M671" s="69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</row>
    <row r="672" spans="1:29" ht="18" customHeight="1">
      <c r="A672" s="85" t="s">
        <v>276</v>
      </c>
      <c r="B672" s="106">
        <v>809</v>
      </c>
      <c r="C672" s="83" t="s">
        <v>62</v>
      </c>
      <c r="D672" s="83"/>
      <c r="E672" s="83"/>
      <c r="F672" s="83"/>
      <c r="G672" s="40">
        <f>SUM(G673,G696,G688,G691)</f>
        <v>286181.5</v>
      </c>
      <c r="H672" s="40">
        <f>SUM(H673,H696,H688,H691)</f>
        <v>277429.80000000005</v>
      </c>
      <c r="I672" s="40">
        <f>SUM(I673,I696,I688,I691)</f>
        <v>283773</v>
      </c>
      <c r="J672" s="75"/>
      <c r="K672" s="68"/>
      <c r="L672" s="68"/>
      <c r="M672" s="69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</row>
    <row r="673" spans="1:29" ht="18" customHeight="1">
      <c r="A673" s="50" t="s">
        <v>236</v>
      </c>
      <c r="B673" s="106">
        <v>809</v>
      </c>
      <c r="C673" s="83" t="s">
        <v>62</v>
      </c>
      <c r="D673" s="83" t="s">
        <v>807</v>
      </c>
      <c r="E673" s="83"/>
      <c r="F673" s="83"/>
      <c r="G673" s="40">
        <f>SUM(G674,G681)</f>
        <v>178616.2</v>
      </c>
      <c r="H673" s="40">
        <f>SUM(H674,H681)</f>
        <v>171434.1</v>
      </c>
      <c r="I673" s="40">
        <f>SUM(I674,I681)</f>
        <v>177769.5</v>
      </c>
      <c r="J673" s="75"/>
      <c r="K673" s="68"/>
      <c r="L673" s="68"/>
      <c r="M673" s="69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</row>
    <row r="674" spans="1:29" ht="18" customHeight="1">
      <c r="A674" s="85" t="s">
        <v>488</v>
      </c>
      <c r="B674" s="106">
        <v>809</v>
      </c>
      <c r="C674" s="83" t="s">
        <v>62</v>
      </c>
      <c r="D674" s="83" t="s">
        <v>807</v>
      </c>
      <c r="E674" s="83" t="s">
        <v>183</v>
      </c>
      <c r="F674" s="83"/>
      <c r="G674" s="40">
        <f>SUM(G675)</f>
        <v>164698</v>
      </c>
      <c r="H674" s="40">
        <f>SUM(H675)</f>
        <v>169868.2</v>
      </c>
      <c r="I674" s="40">
        <f>SUM(I675)</f>
        <v>175589.9</v>
      </c>
      <c r="J674" s="75"/>
      <c r="K674" s="68"/>
      <c r="L674" s="68"/>
      <c r="M674" s="69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</row>
    <row r="675" spans="1:29" ht="18" customHeight="1">
      <c r="A675" s="81" t="s">
        <v>622</v>
      </c>
      <c r="B675" s="106">
        <v>809</v>
      </c>
      <c r="C675" s="83" t="s">
        <v>62</v>
      </c>
      <c r="D675" s="83" t="s">
        <v>807</v>
      </c>
      <c r="E675" s="83" t="s">
        <v>184</v>
      </c>
      <c r="F675" s="83"/>
      <c r="G675" s="40">
        <f>G676</f>
        <v>164698</v>
      </c>
      <c r="H675" s="40">
        <f>H676</f>
        <v>169868.2</v>
      </c>
      <c r="I675" s="40">
        <f>I676</f>
        <v>175589.9</v>
      </c>
      <c r="J675" s="75"/>
      <c r="K675" s="68"/>
      <c r="L675" s="68"/>
      <c r="M675" s="69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</row>
    <row r="676" spans="1:29" ht="18" customHeight="1">
      <c r="A676" s="81" t="s">
        <v>159</v>
      </c>
      <c r="B676" s="106">
        <v>809</v>
      </c>
      <c r="C676" s="83" t="s">
        <v>62</v>
      </c>
      <c r="D676" s="83" t="s">
        <v>807</v>
      </c>
      <c r="E676" s="83" t="s">
        <v>184</v>
      </c>
      <c r="F676" s="83" t="s">
        <v>572</v>
      </c>
      <c r="G676" s="40">
        <v>164698</v>
      </c>
      <c r="H676" s="40">
        <v>169868.2</v>
      </c>
      <c r="I676" s="40">
        <v>175589.9</v>
      </c>
      <c r="J676" s="75"/>
      <c r="K676" s="68"/>
      <c r="L676" s="68"/>
      <c r="M676" s="69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</row>
    <row r="677" spans="1:29" ht="18" customHeight="1" hidden="1">
      <c r="A677" s="82" t="s">
        <v>69</v>
      </c>
      <c r="B677" s="106">
        <v>809</v>
      </c>
      <c r="C677" s="83" t="s">
        <v>62</v>
      </c>
      <c r="D677" s="83" t="s">
        <v>807</v>
      </c>
      <c r="E677" s="83" t="s">
        <v>48</v>
      </c>
      <c r="F677" s="83"/>
      <c r="G677" s="40">
        <f>SUM(G678)</f>
        <v>0</v>
      </c>
      <c r="H677" s="40">
        <f aca="true" t="shared" si="69" ref="H677:I679">SUM(H678)</f>
        <v>0</v>
      </c>
      <c r="I677" s="40">
        <f t="shared" si="69"/>
        <v>0</v>
      </c>
      <c r="J677" s="75"/>
      <c r="K677" s="68"/>
      <c r="L677" s="68"/>
      <c r="M677" s="69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</row>
    <row r="678" spans="1:29" ht="18" customHeight="1" hidden="1">
      <c r="A678" s="114" t="s">
        <v>331</v>
      </c>
      <c r="B678" s="106">
        <v>809</v>
      </c>
      <c r="C678" s="83" t="s">
        <v>62</v>
      </c>
      <c r="D678" s="83" t="s">
        <v>807</v>
      </c>
      <c r="E678" s="83" t="s">
        <v>296</v>
      </c>
      <c r="F678" s="83"/>
      <c r="G678" s="40">
        <f>SUM(G679)</f>
        <v>0</v>
      </c>
      <c r="H678" s="40">
        <f t="shared" si="69"/>
        <v>0</v>
      </c>
      <c r="I678" s="40">
        <f t="shared" si="69"/>
        <v>0</v>
      </c>
      <c r="J678" s="75"/>
      <c r="K678" s="68"/>
      <c r="L678" s="68"/>
      <c r="M678" s="69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</row>
    <row r="679" spans="1:29" ht="18" customHeight="1" hidden="1">
      <c r="A679" s="82" t="s">
        <v>91</v>
      </c>
      <c r="B679" s="106">
        <v>809</v>
      </c>
      <c r="C679" s="83" t="s">
        <v>62</v>
      </c>
      <c r="D679" s="83" t="s">
        <v>807</v>
      </c>
      <c r="E679" s="83" t="s">
        <v>225</v>
      </c>
      <c r="F679" s="83"/>
      <c r="G679" s="40">
        <f>SUM(G680)</f>
        <v>0</v>
      </c>
      <c r="H679" s="40">
        <f t="shared" si="69"/>
        <v>0</v>
      </c>
      <c r="I679" s="40">
        <f t="shared" si="69"/>
        <v>0</v>
      </c>
      <c r="J679" s="75"/>
      <c r="K679" s="68"/>
      <c r="L679" s="68"/>
      <c r="M679" s="69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</row>
    <row r="680" spans="1:29" ht="18" customHeight="1" hidden="1">
      <c r="A680" s="50" t="s">
        <v>240</v>
      </c>
      <c r="B680" s="106">
        <v>809</v>
      </c>
      <c r="C680" s="83" t="s">
        <v>62</v>
      </c>
      <c r="D680" s="83" t="s">
        <v>807</v>
      </c>
      <c r="E680" s="83" t="s">
        <v>225</v>
      </c>
      <c r="F680" s="83" t="s">
        <v>277</v>
      </c>
      <c r="G680" s="40"/>
      <c r="H680" s="40"/>
      <c r="I680" s="40"/>
      <c r="J680" s="75"/>
      <c r="K680" s="68"/>
      <c r="L680" s="68"/>
      <c r="M680" s="69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</row>
    <row r="681" spans="1:29" ht="18" customHeight="1">
      <c r="A681" s="86" t="s">
        <v>364</v>
      </c>
      <c r="B681" s="106">
        <v>809</v>
      </c>
      <c r="C681" s="83" t="s">
        <v>62</v>
      </c>
      <c r="D681" s="83" t="s">
        <v>807</v>
      </c>
      <c r="E681" s="83" t="s">
        <v>358</v>
      </c>
      <c r="F681" s="83"/>
      <c r="G681" s="40">
        <f>G682</f>
        <v>13918.199999999999</v>
      </c>
      <c r="H681" s="40">
        <f>H682</f>
        <v>1565.9</v>
      </c>
      <c r="I681" s="40">
        <f>I682</f>
        <v>2179.6</v>
      </c>
      <c r="J681" s="75"/>
      <c r="K681" s="68"/>
      <c r="L681" s="68"/>
      <c r="M681" s="69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</row>
    <row r="682" spans="1:29" ht="18" customHeight="1">
      <c r="A682" s="86" t="s">
        <v>394</v>
      </c>
      <c r="B682" s="51">
        <v>809</v>
      </c>
      <c r="C682" s="52" t="s">
        <v>62</v>
      </c>
      <c r="D682" s="52" t="s">
        <v>807</v>
      </c>
      <c r="E682" s="52" t="s">
        <v>359</v>
      </c>
      <c r="F682" s="52"/>
      <c r="G682" s="40">
        <f>G683+G685</f>
        <v>13918.199999999999</v>
      </c>
      <c r="H682" s="40">
        <f>H683+H685</f>
        <v>1565.9</v>
      </c>
      <c r="I682" s="40">
        <f>I683+I685</f>
        <v>2179.6</v>
      </c>
      <c r="J682" s="75"/>
      <c r="K682" s="68"/>
      <c r="L682" s="68"/>
      <c r="M682" s="69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</row>
    <row r="683" spans="1:29" ht="18" customHeight="1">
      <c r="A683" s="85" t="s">
        <v>215</v>
      </c>
      <c r="B683" s="51">
        <v>809</v>
      </c>
      <c r="C683" s="52" t="s">
        <v>62</v>
      </c>
      <c r="D683" s="52" t="s">
        <v>807</v>
      </c>
      <c r="E683" s="52" t="s">
        <v>369</v>
      </c>
      <c r="F683" s="52"/>
      <c r="G683" s="40">
        <f>G684</f>
        <v>1045.3</v>
      </c>
      <c r="H683" s="40">
        <f>H684</f>
        <v>1565.9</v>
      </c>
      <c r="I683" s="40">
        <f>I684</f>
        <v>2179.6</v>
      </c>
      <c r="J683" s="75"/>
      <c r="K683" s="68"/>
      <c r="L683" s="68"/>
      <c r="M683" s="69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</row>
    <row r="684" spans="1:29" ht="18" customHeight="1">
      <c r="A684" s="81" t="s">
        <v>621</v>
      </c>
      <c r="B684" s="51">
        <v>809</v>
      </c>
      <c r="C684" s="52" t="s">
        <v>62</v>
      </c>
      <c r="D684" s="52" t="s">
        <v>807</v>
      </c>
      <c r="E684" s="52" t="s">
        <v>369</v>
      </c>
      <c r="F684" s="52" t="s">
        <v>277</v>
      </c>
      <c r="G684" s="40">
        <v>1045.3</v>
      </c>
      <c r="H684" s="40">
        <v>1565.9</v>
      </c>
      <c r="I684" s="40">
        <v>2179.6</v>
      </c>
      <c r="J684" s="75"/>
      <c r="K684" s="68"/>
      <c r="L684" s="68"/>
      <c r="M684" s="69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</row>
    <row r="685" spans="1:29" ht="18" customHeight="1" hidden="1">
      <c r="A685" s="85" t="s">
        <v>795</v>
      </c>
      <c r="B685" s="51">
        <v>809</v>
      </c>
      <c r="C685" s="52" t="s">
        <v>62</v>
      </c>
      <c r="D685" s="52" t="s">
        <v>807</v>
      </c>
      <c r="E685" s="52" t="s">
        <v>363</v>
      </c>
      <c r="F685" s="52"/>
      <c r="G685" s="40">
        <f>SUM(G686:G687)</f>
        <v>12872.9</v>
      </c>
      <c r="H685" s="40">
        <f>SUM(H686:H687)</f>
        <v>0</v>
      </c>
      <c r="I685" s="40">
        <f>SUM(I686:I687)</f>
        <v>0</v>
      </c>
      <c r="J685" s="75"/>
      <c r="K685" s="68"/>
      <c r="L685" s="68"/>
      <c r="M685" s="69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</row>
    <row r="686" spans="1:29" ht="18" customHeight="1" hidden="1">
      <c r="A686" s="50" t="s">
        <v>256</v>
      </c>
      <c r="B686" s="51">
        <v>809</v>
      </c>
      <c r="C686" s="52" t="s">
        <v>62</v>
      </c>
      <c r="D686" s="52" t="s">
        <v>807</v>
      </c>
      <c r="E686" s="52" t="s">
        <v>363</v>
      </c>
      <c r="F686" s="52" t="s">
        <v>257</v>
      </c>
      <c r="G686" s="40">
        <v>5500</v>
      </c>
      <c r="H686" s="40"/>
      <c r="I686" s="40"/>
      <c r="J686" s="75"/>
      <c r="K686" s="68"/>
      <c r="L686" s="68"/>
      <c r="M686" s="69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</row>
    <row r="687" spans="1:29" ht="18" customHeight="1" hidden="1">
      <c r="A687" s="81" t="s">
        <v>621</v>
      </c>
      <c r="B687" s="51">
        <v>809</v>
      </c>
      <c r="C687" s="52" t="s">
        <v>62</v>
      </c>
      <c r="D687" s="52" t="s">
        <v>807</v>
      </c>
      <c r="E687" s="52" t="s">
        <v>363</v>
      </c>
      <c r="F687" s="52" t="s">
        <v>277</v>
      </c>
      <c r="G687" s="40">
        <v>7372.9</v>
      </c>
      <c r="H687" s="40"/>
      <c r="I687" s="40"/>
      <c r="J687" s="75"/>
      <c r="K687" s="68"/>
      <c r="L687" s="68"/>
      <c r="M687" s="69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</row>
    <row r="688" spans="1:29" ht="18" customHeight="1" hidden="1">
      <c r="A688" s="50" t="s">
        <v>512</v>
      </c>
      <c r="B688" s="51">
        <v>809</v>
      </c>
      <c r="C688" s="52" t="s">
        <v>62</v>
      </c>
      <c r="D688" s="52" t="s">
        <v>808</v>
      </c>
      <c r="E688" s="52"/>
      <c r="F688" s="52"/>
      <c r="G688" s="40">
        <f aca="true" t="shared" si="70" ref="G688:I689">G689</f>
        <v>820</v>
      </c>
      <c r="H688" s="40">
        <f t="shared" si="70"/>
        <v>0</v>
      </c>
      <c r="I688" s="40">
        <f t="shared" si="70"/>
        <v>0</v>
      </c>
      <c r="J688" s="75"/>
      <c r="K688" s="68"/>
      <c r="L688" s="68"/>
      <c r="M688" s="69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</row>
    <row r="689" spans="1:29" ht="18" customHeight="1" hidden="1">
      <c r="A689" s="81" t="s">
        <v>622</v>
      </c>
      <c r="B689" s="51">
        <v>809</v>
      </c>
      <c r="C689" s="52" t="s">
        <v>62</v>
      </c>
      <c r="D689" s="52" t="s">
        <v>808</v>
      </c>
      <c r="E689" s="83" t="s">
        <v>184</v>
      </c>
      <c r="F689" s="52"/>
      <c r="G689" s="40">
        <f t="shared" si="70"/>
        <v>820</v>
      </c>
      <c r="H689" s="40">
        <f t="shared" si="70"/>
        <v>0</v>
      </c>
      <c r="I689" s="40">
        <f t="shared" si="70"/>
        <v>0</v>
      </c>
      <c r="J689" s="75"/>
      <c r="K689" s="68"/>
      <c r="L689" s="68"/>
      <c r="M689" s="69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</row>
    <row r="690" spans="1:29" ht="18" customHeight="1" hidden="1">
      <c r="A690" s="81" t="s">
        <v>621</v>
      </c>
      <c r="B690" s="51">
        <v>809</v>
      </c>
      <c r="C690" s="52" t="s">
        <v>62</v>
      </c>
      <c r="D690" s="52" t="s">
        <v>808</v>
      </c>
      <c r="E690" s="83" t="s">
        <v>184</v>
      </c>
      <c r="F690" s="52" t="s">
        <v>277</v>
      </c>
      <c r="G690" s="40">
        <v>820</v>
      </c>
      <c r="H690" s="40"/>
      <c r="I690" s="40"/>
      <c r="J690" s="75"/>
      <c r="K690" s="68"/>
      <c r="L690" s="68"/>
      <c r="M690" s="69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</row>
    <row r="691" spans="1:29" ht="18" customHeight="1">
      <c r="A691" s="50" t="s">
        <v>449</v>
      </c>
      <c r="B691" s="51">
        <v>809</v>
      </c>
      <c r="C691" s="52" t="s">
        <v>62</v>
      </c>
      <c r="D691" s="52" t="s">
        <v>809</v>
      </c>
      <c r="E691" s="83"/>
      <c r="F691" s="52"/>
      <c r="G691" s="40">
        <f>G694</f>
        <v>100000</v>
      </c>
      <c r="H691" s="40">
        <f>H694</f>
        <v>100000</v>
      </c>
      <c r="I691" s="40">
        <f>I694</f>
        <v>100000</v>
      </c>
      <c r="J691" s="75"/>
      <c r="K691" s="68"/>
      <c r="L691" s="68"/>
      <c r="M691" s="69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</row>
    <row r="692" spans="1:29" ht="18" customHeight="1">
      <c r="A692" s="50" t="s">
        <v>344</v>
      </c>
      <c r="B692" s="51">
        <v>809</v>
      </c>
      <c r="C692" s="52" t="s">
        <v>62</v>
      </c>
      <c r="D692" s="52" t="s">
        <v>809</v>
      </c>
      <c r="E692" s="83" t="s">
        <v>343</v>
      </c>
      <c r="F692" s="52"/>
      <c r="G692" s="40">
        <f aca="true" t="shared" si="71" ref="G692:I694">G693</f>
        <v>100000</v>
      </c>
      <c r="H692" s="40">
        <f t="shared" si="71"/>
        <v>100000</v>
      </c>
      <c r="I692" s="40">
        <f t="shared" si="71"/>
        <v>100000</v>
      </c>
      <c r="J692" s="75"/>
      <c r="K692" s="68"/>
      <c r="L692" s="68"/>
      <c r="M692" s="69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</row>
    <row r="693" spans="1:29" ht="18" customHeight="1">
      <c r="A693" s="50" t="s">
        <v>345</v>
      </c>
      <c r="B693" s="51">
        <v>809</v>
      </c>
      <c r="C693" s="52" t="s">
        <v>62</v>
      </c>
      <c r="D693" s="52" t="s">
        <v>809</v>
      </c>
      <c r="E693" s="83" t="s">
        <v>447</v>
      </c>
      <c r="F693" s="52"/>
      <c r="G693" s="40">
        <f t="shared" si="71"/>
        <v>100000</v>
      </c>
      <c r="H693" s="40">
        <f t="shared" si="71"/>
        <v>100000</v>
      </c>
      <c r="I693" s="40">
        <f t="shared" si="71"/>
        <v>100000</v>
      </c>
      <c r="J693" s="75"/>
      <c r="K693" s="68"/>
      <c r="L693" s="68"/>
      <c r="M693" s="69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</row>
    <row r="694" spans="1:29" ht="18" customHeight="1">
      <c r="A694" s="82" t="s">
        <v>91</v>
      </c>
      <c r="B694" s="51">
        <v>809</v>
      </c>
      <c r="C694" s="52" t="s">
        <v>62</v>
      </c>
      <c r="D694" s="52" t="s">
        <v>809</v>
      </c>
      <c r="E694" s="83" t="s">
        <v>448</v>
      </c>
      <c r="F694" s="52"/>
      <c r="G694" s="40">
        <f t="shared" si="71"/>
        <v>100000</v>
      </c>
      <c r="H694" s="40">
        <f t="shared" si="71"/>
        <v>100000</v>
      </c>
      <c r="I694" s="40">
        <f t="shared" si="71"/>
        <v>100000</v>
      </c>
      <c r="J694" s="75"/>
      <c r="K694" s="68"/>
      <c r="L694" s="68"/>
      <c r="M694" s="69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</row>
    <row r="695" spans="1:29" ht="18" customHeight="1">
      <c r="A695" s="50" t="s">
        <v>346</v>
      </c>
      <c r="B695" s="51">
        <v>809</v>
      </c>
      <c r="C695" s="52" t="s">
        <v>62</v>
      </c>
      <c r="D695" s="52" t="s">
        <v>809</v>
      </c>
      <c r="E695" s="83" t="s">
        <v>448</v>
      </c>
      <c r="F695" s="52" t="s">
        <v>257</v>
      </c>
      <c r="G695" s="40">
        <v>100000</v>
      </c>
      <c r="H695" s="40">
        <v>100000</v>
      </c>
      <c r="I695" s="40">
        <v>100000</v>
      </c>
      <c r="J695" s="75"/>
      <c r="K695" s="68"/>
      <c r="L695" s="68"/>
      <c r="M695" s="69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</row>
    <row r="696" spans="1:29" ht="18" customHeight="1">
      <c r="A696" s="50" t="s">
        <v>513</v>
      </c>
      <c r="B696" s="51">
        <v>809</v>
      </c>
      <c r="C696" s="52" t="s">
        <v>62</v>
      </c>
      <c r="D696" s="52" t="s">
        <v>59</v>
      </c>
      <c r="E696" s="52"/>
      <c r="F696" s="52"/>
      <c r="G696" s="40">
        <f>SUM(G697,G700)</f>
        <v>6745.3</v>
      </c>
      <c r="H696" s="40">
        <f>SUM(H697,H700)</f>
        <v>5995.700000000001</v>
      </c>
      <c r="I696" s="40">
        <f>SUM(I697,I700)</f>
        <v>6003.5</v>
      </c>
      <c r="J696" s="75"/>
      <c r="K696" s="68"/>
      <c r="L696" s="68"/>
      <c r="M696" s="69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</row>
    <row r="697" spans="1:29" ht="34.5" customHeight="1">
      <c r="A697" s="81" t="s">
        <v>42</v>
      </c>
      <c r="B697" s="51">
        <v>809</v>
      </c>
      <c r="C697" s="52" t="s">
        <v>62</v>
      </c>
      <c r="D697" s="52" t="s">
        <v>59</v>
      </c>
      <c r="E697" s="52" t="s">
        <v>43</v>
      </c>
      <c r="F697" s="52"/>
      <c r="G697" s="40">
        <f aca="true" t="shared" si="72" ref="G697:I698">SUM(G698)</f>
        <v>2838.5</v>
      </c>
      <c r="H697" s="40">
        <f t="shared" si="72"/>
        <v>2833.9</v>
      </c>
      <c r="I697" s="40">
        <f t="shared" si="72"/>
        <v>2834.2</v>
      </c>
      <c r="J697" s="75"/>
      <c r="K697" s="68"/>
      <c r="L697" s="68"/>
      <c r="M697" s="69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</row>
    <row r="698" spans="1:29" ht="18" customHeight="1">
      <c r="A698" s="81" t="s">
        <v>47</v>
      </c>
      <c r="B698" s="51">
        <v>809</v>
      </c>
      <c r="C698" s="52" t="s">
        <v>62</v>
      </c>
      <c r="D698" s="52" t="s">
        <v>59</v>
      </c>
      <c r="E698" s="52" t="s">
        <v>45</v>
      </c>
      <c r="F698" s="52"/>
      <c r="G698" s="40">
        <f t="shared" si="72"/>
        <v>2838.5</v>
      </c>
      <c r="H698" s="40">
        <f t="shared" si="72"/>
        <v>2833.9</v>
      </c>
      <c r="I698" s="40">
        <f t="shared" si="72"/>
        <v>2834.2</v>
      </c>
      <c r="J698" s="75"/>
      <c r="K698" s="68"/>
      <c r="L698" s="68"/>
      <c r="M698" s="69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</row>
    <row r="699" spans="1:29" ht="18" customHeight="1">
      <c r="A699" s="82" t="s">
        <v>361</v>
      </c>
      <c r="B699" s="51">
        <v>809</v>
      </c>
      <c r="C699" s="52" t="s">
        <v>62</v>
      </c>
      <c r="D699" s="52" t="s">
        <v>59</v>
      </c>
      <c r="E699" s="52" t="s">
        <v>45</v>
      </c>
      <c r="F699" s="52" t="s">
        <v>214</v>
      </c>
      <c r="G699" s="40">
        <f>2703.5+135</f>
        <v>2838.5</v>
      </c>
      <c r="H699" s="40">
        <f>2698.9+135</f>
        <v>2833.9</v>
      </c>
      <c r="I699" s="40">
        <f>2699.2+135</f>
        <v>2834.2</v>
      </c>
      <c r="J699" s="75"/>
      <c r="K699" s="68"/>
      <c r="L699" s="68"/>
      <c r="M699" s="69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</row>
    <row r="700" spans="1:29" ht="36.75" customHeight="1">
      <c r="A700" s="81" t="s">
        <v>0</v>
      </c>
      <c r="B700" s="51">
        <v>809</v>
      </c>
      <c r="C700" s="52" t="s">
        <v>62</v>
      </c>
      <c r="D700" s="52" t="s">
        <v>59</v>
      </c>
      <c r="E700" s="52" t="s">
        <v>555</v>
      </c>
      <c r="F700" s="52"/>
      <c r="G700" s="40">
        <f>SUM(G701,G703)</f>
        <v>3906.8</v>
      </c>
      <c r="H700" s="40">
        <f>SUM(H701,H703)</f>
        <v>3161.8</v>
      </c>
      <c r="I700" s="40">
        <f>SUM(I701,I703)</f>
        <v>3169.3</v>
      </c>
      <c r="J700" s="75"/>
      <c r="K700" s="68"/>
      <c r="L700" s="68"/>
      <c r="M700" s="69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</row>
    <row r="701" spans="1:29" ht="18" customHeight="1" hidden="1">
      <c r="A701" s="85" t="s">
        <v>496</v>
      </c>
      <c r="B701" s="51">
        <v>809</v>
      </c>
      <c r="C701" s="52" t="s">
        <v>62</v>
      </c>
      <c r="D701" s="52" t="s">
        <v>59</v>
      </c>
      <c r="E701" s="52" t="s">
        <v>500</v>
      </c>
      <c r="F701" s="52"/>
      <c r="G701" s="40">
        <f>SUM(G702)</f>
        <v>0</v>
      </c>
      <c r="H701" s="40">
        <f>SUM(H702)</f>
        <v>0</v>
      </c>
      <c r="I701" s="40">
        <f>SUM(I702)</f>
        <v>0</v>
      </c>
      <c r="J701" s="75"/>
      <c r="K701" s="68"/>
      <c r="L701" s="68"/>
      <c r="M701" s="69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</row>
    <row r="702" spans="1:29" ht="18" customHeight="1" hidden="1">
      <c r="A702" s="81" t="s">
        <v>13</v>
      </c>
      <c r="B702" s="51">
        <v>809</v>
      </c>
      <c r="C702" s="52" t="s">
        <v>62</v>
      </c>
      <c r="D702" s="52" t="s">
        <v>59</v>
      </c>
      <c r="E702" s="52" t="s">
        <v>500</v>
      </c>
      <c r="F702" s="52" t="s">
        <v>572</v>
      </c>
      <c r="G702" s="40"/>
      <c r="H702" s="40"/>
      <c r="I702" s="40"/>
      <c r="J702" s="75"/>
      <c r="K702" s="68"/>
      <c r="L702" s="68"/>
      <c r="M702" s="69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</row>
    <row r="703" spans="1:29" ht="18" customHeight="1">
      <c r="A703" s="85" t="s">
        <v>403</v>
      </c>
      <c r="B703" s="51">
        <v>809</v>
      </c>
      <c r="C703" s="52" t="s">
        <v>62</v>
      </c>
      <c r="D703" s="52" t="s">
        <v>59</v>
      </c>
      <c r="E703" s="52" t="s">
        <v>556</v>
      </c>
      <c r="F703" s="52"/>
      <c r="G703" s="40">
        <f>SUM(G704)</f>
        <v>3906.8</v>
      </c>
      <c r="H703" s="40">
        <f>SUM(H704)</f>
        <v>3161.8</v>
      </c>
      <c r="I703" s="40">
        <f>SUM(I704)</f>
        <v>3169.3</v>
      </c>
      <c r="J703" s="75"/>
      <c r="K703" s="68"/>
      <c r="L703" s="68"/>
      <c r="M703" s="69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</row>
    <row r="704" spans="1:29" ht="18" customHeight="1">
      <c r="A704" s="81" t="s">
        <v>13</v>
      </c>
      <c r="B704" s="51">
        <v>809</v>
      </c>
      <c r="C704" s="52" t="s">
        <v>62</v>
      </c>
      <c r="D704" s="52" t="s">
        <v>59</v>
      </c>
      <c r="E704" s="52" t="s">
        <v>556</v>
      </c>
      <c r="F704" s="52" t="s">
        <v>572</v>
      </c>
      <c r="G704" s="40">
        <v>3906.8</v>
      </c>
      <c r="H704" s="40">
        <v>3161.8</v>
      </c>
      <c r="I704" s="40">
        <v>3169.3</v>
      </c>
      <c r="J704" s="75"/>
      <c r="K704" s="68"/>
      <c r="L704" s="68"/>
      <c r="M704" s="69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</row>
    <row r="705" spans="1:29" ht="18" customHeight="1">
      <c r="A705" s="63" t="s">
        <v>108</v>
      </c>
      <c r="B705" s="51">
        <v>810</v>
      </c>
      <c r="C705" s="52"/>
      <c r="D705" s="52"/>
      <c r="E705" s="52"/>
      <c r="F705" s="52"/>
      <c r="G705" s="40">
        <f>SUM(G716,G726,G706)</f>
        <v>898486.7000000002</v>
      </c>
      <c r="H705" s="40">
        <f>SUM(H716,H726,H706)</f>
        <v>768495.6000000001</v>
      </c>
      <c r="I705" s="40">
        <f>SUM(I716,I726,I706)</f>
        <v>788244.0000000001</v>
      </c>
      <c r="J705" s="75"/>
      <c r="K705" s="68"/>
      <c r="L705" s="68"/>
      <c r="M705" s="69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</row>
    <row r="706" spans="1:29" ht="18" customHeight="1" hidden="1">
      <c r="A706" s="63" t="s">
        <v>432</v>
      </c>
      <c r="B706" s="51">
        <v>810</v>
      </c>
      <c r="C706" s="52" t="s">
        <v>810</v>
      </c>
      <c r="D706" s="52"/>
      <c r="E706" s="52"/>
      <c r="F706" s="52"/>
      <c r="G706" s="40">
        <f>G707</f>
        <v>0</v>
      </c>
      <c r="H706" s="40">
        <f>H707</f>
        <v>0</v>
      </c>
      <c r="I706" s="40">
        <f>I707</f>
        <v>0</v>
      </c>
      <c r="J706" s="75"/>
      <c r="K706" s="68"/>
      <c r="L706" s="68"/>
      <c r="M706" s="69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</row>
    <row r="707" spans="1:29" ht="18" customHeight="1" hidden="1">
      <c r="A707" s="82" t="s">
        <v>773</v>
      </c>
      <c r="B707" s="51">
        <v>810</v>
      </c>
      <c r="C707" s="52" t="s">
        <v>810</v>
      </c>
      <c r="D707" s="52" t="s">
        <v>807</v>
      </c>
      <c r="E707" s="52"/>
      <c r="F707" s="52"/>
      <c r="G707" s="40">
        <f>G708+G713</f>
        <v>0</v>
      </c>
      <c r="H707" s="40">
        <f>H708+H713</f>
        <v>0</v>
      </c>
      <c r="I707" s="40">
        <f>I708+I713</f>
        <v>0</v>
      </c>
      <c r="J707" s="75"/>
      <c r="K707" s="68"/>
      <c r="L707" s="68"/>
      <c r="M707" s="69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</row>
    <row r="708" spans="1:29" ht="18" customHeight="1" hidden="1">
      <c r="A708" s="82" t="s">
        <v>775</v>
      </c>
      <c r="B708" s="51">
        <v>810</v>
      </c>
      <c r="C708" s="52" t="s">
        <v>810</v>
      </c>
      <c r="D708" s="52" t="s">
        <v>807</v>
      </c>
      <c r="E708" s="52" t="s">
        <v>774</v>
      </c>
      <c r="F708" s="52"/>
      <c r="G708" s="40">
        <f>G709+G711</f>
        <v>0</v>
      </c>
      <c r="H708" s="40">
        <f>H709+H711</f>
        <v>0</v>
      </c>
      <c r="I708" s="40">
        <f>I709+I711</f>
        <v>0</v>
      </c>
      <c r="J708" s="75"/>
      <c r="K708" s="68"/>
      <c r="L708" s="68"/>
      <c r="M708" s="69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</row>
    <row r="709" spans="1:29" ht="18" customHeight="1" hidden="1">
      <c r="A709" s="82" t="s">
        <v>777</v>
      </c>
      <c r="B709" s="51">
        <v>810</v>
      </c>
      <c r="C709" s="52" t="s">
        <v>810</v>
      </c>
      <c r="D709" s="52" t="s">
        <v>807</v>
      </c>
      <c r="E709" s="52" t="s">
        <v>776</v>
      </c>
      <c r="F709" s="52"/>
      <c r="G709" s="40">
        <f>G710</f>
        <v>0</v>
      </c>
      <c r="H709" s="40">
        <f>H710</f>
        <v>0</v>
      </c>
      <c r="I709" s="40">
        <f>I710</f>
        <v>0</v>
      </c>
      <c r="J709" s="75"/>
      <c r="K709" s="68"/>
      <c r="L709" s="68"/>
      <c r="M709" s="69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</row>
    <row r="710" spans="1:29" ht="18" customHeight="1" hidden="1">
      <c r="A710" s="81" t="s">
        <v>13</v>
      </c>
      <c r="B710" s="51">
        <v>810</v>
      </c>
      <c r="C710" s="52" t="s">
        <v>810</v>
      </c>
      <c r="D710" s="52" t="s">
        <v>807</v>
      </c>
      <c r="E710" s="52" t="s">
        <v>776</v>
      </c>
      <c r="F710" s="52" t="s">
        <v>572</v>
      </c>
      <c r="G710" s="40"/>
      <c r="H710" s="40"/>
      <c r="I710" s="40"/>
      <c r="J710" s="75"/>
      <c r="K710" s="68"/>
      <c r="L710" s="68"/>
      <c r="M710" s="69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</row>
    <row r="711" spans="1:29" ht="36" customHeight="1" hidden="1">
      <c r="A711" s="81" t="s">
        <v>597</v>
      </c>
      <c r="B711" s="51">
        <v>810</v>
      </c>
      <c r="C711" s="52" t="s">
        <v>810</v>
      </c>
      <c r="D711" s="52" t="s">
        <v>807</v>
      </c>
      <c r="E711" s="52" t="s">
        <v>596</v>
      </c>
      <c r="F711" s="52"/>
      <c r="G711" s="40">
        <f>SUM(G712)</f>
        <v>0</v>
      </c>
      <c r="H711" s="40">
        <f>SUM(H712)</f>
        <v>0</v>
      </c>
      <c r="I711" s="40">
        <f>SUM(I712)</f>
        <v>0</v>
      </c>
      <c r="J711" s="75"/>
      <c r="K711" s="68"/>
      <c r="L711" s="68"/>
      <c r="M711" s="69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</row>
    <row r="712" spans="1:29" ht="19.5" customHeight="1" hidden="1">
      <c r="A712" s="81" t="s">
        <v>13</v>
      </c>
      <c r="B712" s="51">
        <v>810</v>
      </c>
      <c r="C712" s="52" t="s">
        <v>810</v>
      </c>
      <c r="D712" s="52" t="s">
        <v>807</v>
      </c>
      <c r="E712" s="52" t="s">
        <v>596</v>
      </c>
      <c r="F712" s="52" t="s">
        <v>572</v>
      </c>
      <c r="G712" s="40"/>
      <c r="H712" s="40"/>
      <c r="I712" s="40"/>
      <c r="J712" s="75"/>
      <c r="K712" s="68"/>
      <c r="L712" s="68"/>
      <c r="M712" s="69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</row>
    <row r="713" spans="1:29" ht="19.5" customHeight="1" hidden="1">
      <c r="A713" s="81" t="s">
        <v>297</v>
      </c>
      <c r="B713" s="51">
        <v>810</v>
      </c>
      <c r="C713" s="52" t="s">
        <v>810</v>
      </c>
      <c r="D713" s="52" t="s">
        <v>807</v>
      </c>
      <c r="E713" s="52" t="s">
        <v>395</v>
      </c>
      <c r="F713" s="52"/>
      <c r="G713" s="40">
        <f aca="true" t="shared" si="73" ref="G713:I714">SUM(G714)</f>
        <v>0</v>
      </c>
      <c r="H713" s="40">
        <f t="shared" si="73"/>
        <v>0</v>
      </c>
      <c r="I713" s="40">
        <f t="shared" si="73"/>
        <v>0</v>
      </c>
      <c r="J713" s="75"/>
      <c r="K713" s="68"/>
      <c r="L713" s="68"/>
      <c r="M713" s="69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</row>
    <row r="714" spans="1:29" ht="36" customHeight="1" hidden="1">
      <c r="A714" s="81" t="s">
        <v>599</v>
      </c>
      <c r="B714" s="51">
        <v>810</v>
      </c>
      <c r="C714" s="52" t="s">
        <v>810</v>
      </c>
      <c r="D714" s="52" t="s">
        <v>807</v>
      </c>
      <c r="E714" s="52" t="s">
        <v>601</v>
      </c>
      <c r="F714" s="52"/>
      <c r="G714" s="40">
        <f t="shared" si="73"/>
        <v>0</v>
      </c>
      <c r="H714" s="40">
        <f t="shared" si="73"/>
        <v>0</v>
      </c>
      <c r="I714" s="40">
        <f t="shared" si="73"/>
        <v>0</v>
      </c>
      <c r="J714" s="75"/>
      <c r="K714" s="68"/>
      <c r="L714" s="68"/>
      <c r="M714" s="69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</row>
    <row r="715" spans="1:29" ht="18.75" customHeight="1" hidden="1">
      <c r="A715" s="81" t="s">
        <v>13</v>
      </c>
      <c r="B715" s="51">
        <v>810</v>
      </c>
      <c r="C715" s="52" t="s">
        <v>810</v>
      </c>
      <c r="D715" s="52" t="s">
        <v>807</v>
      </c>
      <c r="E715" s="52" t="s">
        <v>601</v>
      </c>
      <c r="F715" s="52" t="s">
        <v>572</v>
      </c>
      <c r="G715" s="40"/>
      <c r="H715" s="40"/>
      <c r="I715" s="40"/>
      <c r="J715" s="75"/>
      <c r="K715" s="68"/>
      <c r="L715" s="68"/>
      <c r="M715" s="69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</row>
    <row r="716" spans="1:29" ht="17.25" customHeight="1">
      <c r="A716" s="86" t="s">
        <v>426</v>
      </c>
      <c r="B716" s="51">
        <v>810</v>
      </c>
      <c r="C716" s="52" t="s">
        <v>529</v>
      </c>
      <c r="D716" s="52"/>
      <c r="E716" s="52"/>
      <c r="F716" s="52"/>
      <c r="G716" s="40">
        <f>SUM(G717)</f>
        <v>10000</v>
      </c>
      <c r="H716" s="40">
        <f>SUM(H717)</f>
        <v>907</v>
      </c>
      <c r="I716" s="40">
        <f>SUM(I717)</f>
        <v>6599.9</v>
      </c>
      <c r="J716" s="75"/>
      <c r="K716" s="68"/>
      <c r="L716" s="68"/>
      <c r="M716" s="69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</row>
    <row r="717" spans="1:29" ht="18.75" customHeight="1">
      <c r="A717" s="85" t="s">
        <v>250</v>
      </c>
      <c r="B717" s="51">
        <v>810</v>
      </c>
      <c r="C717" s="52" t="s">
        <v>529</v>
      </c>
      <c r="D717" s="52" t="s">
        <v>529</v>
      </c>
      <c r="E717" s="52"/>
      <c r="F717" s="52"/>
      <c r="G717" s="40">
        <f>SUM(G718,G725)</f>
        <v>10000</v>
      </c>
      <c r="H717" s="40">
        <f>SUM(H718,H725)</f>
        <v>907</v>
      </c>
      <c r="I717" s="40">
        <f>SUM(I718,I725)</f>
        <v>6599.9</v>
      </c>
      <c r="J717" s="75"/>
      <c r="K717" s="68"/>
      <c r="L717" s="68"/>
      <c r="M717" s="69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</row>
    <row r="718" spans="1:29" ht="21" customHeight="1" hidden="1">
      <c r="A718" s="81" t="s">
        <v>226</v>
      </c>
      <c r="B718" s="51">
        <v>810</v>
      </c>
      <c r="C718" s="52" t="s">
        <v>529</v>
      </c>
      <c r="D718" s="52" t="s">
        <v>529</v>
      </c>
      <c r="E718" s="52" t="s">
        <v>494</v>
      </c>
      <c r="F718" s="52"/>
      <c r="G718" s="40">
        <f>SUM(G719)</f>
        <v>10000</v>
      </c>
      <c r="H718" s="40">
        <f>SUM(H719)</f>
        <v>0</v>
      </c>
      <c r="I718" s="40">
        <f>SUM(I719)</f>
        <v>0</v>
      </c>
      <c r="J718" s="75"/>
      <c r="K718" s="68"/>
      <c r="L718" s="68"/>
      <c r="M718" s="69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</row>
    <row r="719" spans="1:29" ht="18.75" customHeight="1" hidden="1">
      <c r="A719" s="86" t="s">
        <v>323</v>
      </c>
      <c r="B719" s="51">
        <v>810</v>
      </c>
      <c r="C719" s="52" t="s">
        <v>529</v>
      </c>
      <c r="D719" s="52" t="s">
        <v>529</v>
      </c>
      <c r="E719" s="52" t="s">
        <v>537</v>
      </c>
      <c r="F719" s="52"/>
      <c r="G719" s="40">
        <f>SUM(G720:G722)</f>
        <v>10000</v>
      </c>
      <c r="H719" s="40">
        <f>SUM(H720:H722)</f>
        <v>0</v>
      </c>
      <c r="I719" s="40">
        <f>SUM(I720:I722)</f>
        <v>0</v>
      </c>
      <c r="J719" s="75"/>
      <c r="K719" s="68"/>
      <c r="L719" s="68"/>
      <c r="M719" s="69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</row>
    <row r="720" spans="1:29" ht="17.25" customHeight="1" hidden="1">
      <c r="A720" s="86" t="s">
        <v>322</v>
      </c>
      <c r="B720" s="51">
        <v>810</v>
      </c>
      <c r="C720" s="52" t="s">
        <v>529</v>
      </c>
      <c r="D720" s="52" t="s">
        <v>529</v>
      </c>
      <c r="E720" s="52" t="s">
        <v>537</v>
      </c>
      <c r="F720" s="52" t="s">
        <v>271</v>
      </c>
      <c r="G720" s="40">
        <v>10000</v>
      </c>
      <c r="H720" s="40"/>
      <c r="I720" s="40"/>
      <c r="J720" s="75"/>
      <c r="K720" s="68"/>
      <c r="L720" s="68"/>
      <c r="M720" s="69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</row>
    <row r="721" spans="1:29" ht="21" customHeight="1" hidden="1">
      <c r="A721" s="105" t="s">
        <v>213</v>
      </c>
      <c r="B721" s="51">
        <v>810</v>
      </c>
      <c r="C721" s="52" t="s">
        <v>529</v>
      </c>
      <c r="D721" s="52" t="s">
        <v>529</v>
      </c>
      <c r="E721" s="52" t="s">
        <v>537</v>
      </c>
      <c r="F721" s="52" t="s">
        <v>212</v>
      </c>
      <c r="G721" s="40"/>
      <c r="H721" s="40"/>
      <c r="I721" s="40"/>
      <c r="J721" s="75"/>
      <c r="K721" s="68"/>
      <c r="L721" s="68"/>
      <c r="M721" s="69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</row>
    <row r="722" spans="1:29" ht="21" customHeight="1" hidden="1">
      <c r="A722" s="85" t="s">
        <v>560</v>
      </c>
      <c r="B722" s="51">
        <v>810</v>
      </c>
      <c r="C722" s="52" t="s">
        <v>529</v>
      </c>
      <c r="D722" s="52" t="s">
        <v>529</v>
      </c>
      <c r="E722" s="52" t="s">
        <v>537</v>
      </c>
      <c r="F722" s="52" t="s">
        <v>559</v>
      </c>
      <c r="G722" s="40"/>
      <c r="H722" s="40"/>
      <c r="I722" s="40"/>
      <c r="J722" s="75"/>
      <c r="K722" s="68"/>
      <c r="L722" s="68"/>
      <c r="M722" s="69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</row>
    <row r="723" spans="1:13" s="68" customFormat="1" ht="18" customHeight="1">
      <c r="A723" s="115" t="s">
        <v>297</v>
      </c>
      <c r="B723" s="51">
        <v>810</v>
      </c>
      <c r="C723" s="52" t="s">
        <v>529</v>
      </c>
      <c r="D723" s="52" t="s">
        <v>529</v>
      </c>
      <c r="E723" s="52" t="s">
        <v>395</v>
      </c>
      <c r="F723" s="52"/>
      <c r="G723" s="40">
        <f aca="true" t="shared" si="74" ref="G723:I724">G724</f>
        <v>0</v>
      </c>
      <c r="H723" s="40">
        <f t="shared" si="74"/>
        <v>907</v>
      </c>
      <c r="I723" s="40">
        <f t="shared" si="74"/>
        <v>6599.9</v>
      </c>
      <c r="J723" s="75"/>
      <c r="M723" s="69"/>
    </row>
    <row r="724" spans="1:13" s="68" customFormat="1" ht="35.25" customHeight="1">
      <c r="A724" s="105" t="s">
        <v>613</v>
      </c>
      <c r="B724" s="51">
        <v>810</v>
      </c>
      <c r="C724" s="52" t="s">
        <v>529</v>
      </c>
      <c r="D724" s="52" t="s">
        <v>529</v>
      </c>
      <c r="E724" s="52" t="s">
        <v>32</v>
      </c>
      <c r="F724" s="52"/>
      <c r="G724" s="40">
        <f t="shared" si="74"/>
        <v>0</v>
      </c>
      <c r="H724" s="40">
        <f t="shared" si="74"/>
        <v>907</v>
      </c>
      <c r="I724" s="40">
        <f t="shared" si="74"/>
        <v>6599.9</v>
      </c>
      <c r="J724" s="75"/>
      <c r="M724" s="69"/>
    </row>
    <row r="725" spans="1:13" s="68" customFormat="1" ht="18" customHeight="1">
      <c r="A725" s="82" t="s">
        <v>522</v>
      </c>
      <c r="B725" s="51">
        <v>810</v>
      </c>
      <c r="C725" s="52" t="s">
        <v>529</v>
      </c>
      <c r="D725" s="52" t="s">
        <v>529</v>
      </c>
      <c r="E725" s="52" t="s">
        <v>32</v>
      </c>
      <c r="F725" s="52" t="s">
        <v>120</v>
      </c>
      <c r="G725" s="40"/>
      <c r="H725" s="40">
        <v>907</v>
      </c>
      <c r="I725" s="40">
        <v>6599.9</v>
      </c>
      <c r="J725" s="75"/>
      <c r="M725" s="69"/>
    </row>
    <row r="726" spans="1:29" ht="19.5" customHeight="1">
      <c r="A726" s="86" t="s">
        <v>427</v>
      </c>
      <c r="B726" s="51">
        <v>810</v>
      </c>
      <c r="C726" s="52" t="s">
        <v>492</v>
      </c>
      <c r="D726" s="52"/>
      <c r="E726" s="52"/>
      <c r="F726" s="52"/>
      <c r="G726" s="40">
        <f>SUM(G727,G734,G757)</f>
        <v>888486.7000000002</v>
      </c>
      <c r="H726" s="40">
        <f>SUM(H727,H734,H757)</f>
        <v>767588.6000000001</v>
      </c>
      <c r="I726" s="40">
        <f>SUM(I727,I734,I757)</f>
        <v>781644.1000000001</v>
      </c>
      <c r="J726" s="75"/>
      <c r="K726" s="68"/>
      <c r="L726" s="68"/>
      <c r="M726" s="69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</row>
    <row r="727" spans="1:29" s="89" customFormat="1" ht="17.25" customHeight="1" hidden="1">
      <c r="A727" s="86" t="s">
        <v>185</v>
      </c>
      <c r="B727" s="51">
        <v>810</v>
      </c>
      <c r="C727" s="52" t="s">
        <v>492</v>
      </c>
      <c r="D727" s="52" t="s">
        <v>808</v>
      </c>
      <c r="E727" s="52"/>
      <c r="F727" s="52"/>
      <c r="G727" s="40">
        <f aca="true" t="shared" si="75" ref="G727:I728">SUM(G728)</f>
        <v>0</v>
      </c>
      <c r="H727" s="40">
        <f t="shared" si="75"/>
        <v>0</v>
      </c>
      <c r="I727" s="40">
        <f t="shared" si="75"/>
        <v>0</v>
      </c>
      <c r="J727" s="75"/>
      <c r="K727" s="68"/>
      <c r="L727" s="68"/>
      <c r="M727" s="69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</row>
    <row r="728" spans="1:29" s="90" customFormat="1" ht="18.75" customHeight="1" hidden="1">
      <c r="A728" s="86" t="s">
        <v>191</v>
      </c>
      <c r="B728" s="51">
        <v>810</v>
      </c>
      <c r="C728" s="52" t="s">
        <v>492</v>
      </c>
      <c r="D728" s="52" t="s">
        <v>808</v>
      </c>
      <c r="E728" s="52" t="s">
        <v>186</v>
      </c>
      <c r="F728" s="52"/>
      <c r="G728" s="40">
        <f t="shared" si="75"/>
        <v>0</v>
      </c>
      <c r="H728" s="40">
        <f t="shared" si="75"/>
        <v>0</v>
      </c>
      <c r="I728" s="40">
        <f t="shared" si="75"/>
        <v>0</v>
      </c>
      <c r="J728" s="75"/>
      <c r="K728" s="68"/>
      <c r="L728" s="68"/>
      <c r="M728" s="69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</row>
    <row r="729" spans="1:29" ht="18.75" customHeight="1" hidden="1">
      <c r="A729" s="85" t="s">
        <v>403</v>
      </c>
      <c r="B729" s="51">
        <v>810</v>
      </c>
      <c r="C729" s="52" t="s">
        <v>492</v>
      </c>
      <c r="D729" s="52" t="s">
        <v>808</v>
      </c>
      <c r="E729" s="52" t="s">
        <v>192</v>
      </c>
      <c r="F729" s="52"/>
      <c r="G729" s="40">
        <f>G730</f>
        <v>0</v>
      </c>
      <c r="H729" s="40">
        <f>H730</f>
        <v>0</v>
      </c>
      <c r="I729" s="40">
        <f>I730</f>
        <v>0</v>
      </c>
      <c r="J729" s="75"/>
      <c r="K729" s="68"/>
      <c r="L729" s="68"/>
      <c r="M729" s="69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</row>
    <row r="730" spans="1:29" ht="18.75" customHeight="1" hidden="1">
      <c r="A730" s="81" t="s">
        <v>13</v>
      </c>
      <c r="B730" s="51">
        <v>810</v>
      </c>
      <c r="C730" s="52" t="s">
        <v>492</v>
      </c>
      <c r="D730" s="52" t="s">
        <v>808</v>
      </c>
      <c r="E730" s="52" t="s">
        <v>222</v>
      </c>
      <c r="F730" s="52" t="s">
        <v>572</v>
      </c>
      <c r="G730" s="40"/>
      <c r="H730" s="40"/>
      <c r="I730" s="40"/>
      <c r="J730" s="75"/>
      <c r="K730" s="68"/>
      <c r="L730" s="68"/>
      <c r="M730" s="69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</row>
    <row r="731" spans="1:29" s="89" customFormat="1" ht="21" customHeight="1" hidden="1">
      <c r="A731" s="81" t="s">
        <v>175</v>
      </c>
      <c r="B731" s="51">
        <v>810</v>
      </c>
      <c r="C731" s="52" t="s">
        <v>492</v>
      </c>
      <c r="D731" s="52" t="s">
        <v>808</v>
      </c>
      <c r="E731" s="52" t="s">
        <v>174</v>
      </c>
      <c r="F731" s="52"/>
      <c r="G731" s="40">
        <f aca="true" t="shared" si="76" ref="G731:I732">G732</f>
        <v>0</v>
      </c>
      <c r="H731" s="40">
        <f t="shared" si="76"/>
        <v>0</v>
      </c>
      <c r="I731" s="40">
        <f t="shared" si="76"/>
        <v>0</v>
      </c>
      <c r="J731" s="75"/>
      <c r="K731" s="68"/>
      <c r="L731" s="68"/>
      <c r="M731" s="69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</row>
    <row r="732" spans="1:29" s="90" customFormat="1" ht="102.75" customHeight="1" hidden="1">
      <c r="A732" s="81" t="s">
        <v>246</v>
      </c>
      <c r="B732" s="51">
        <v>810</v>
      </c>
      <c r="C732" s="52" t="s">
        <v>492</v>
      </c>
      <c r="D732" s="52" t="s">
        <v>808</v>
      </c>
      <c r="E732" s="52" t="s">
        <v>172</v>
      </c>
      <c r="F732" s="52"/>
      <c r="G732" s="40">
        <f t="shared" si="76"/>
        <v>0</v>
      </c>
      <c r="H732" s="40">
        <f t="shared" si="76"/>
        <v>0</v>
      </c>
      <c r="I732" s="40">
        <f t="shared" si="76"/>
        <v>0</v>
      </c>
      <c r="J732" s="75"/>
      <c r="K732" s="68"/>
      <c r="L732" s="68"/>
      <c r="M732" s="69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</row>
    <row r="733" spans="1:29" ht="21" customHeight="1" hidden="1">
      <c r="A733" s="81" t="s">
        <v>13</v>
      </c>
      <c r="B733" s="51">
        <v>810</v>
      </c>
      <c r="C733" s="52" t="s">
        <v>492</v>
      </c>
      <c r="D733" s="52" t="s">
        <v>808</v>
      </c>
      <c r="E733" s="52" t="s">
        <v>172</v>
      </c>
      <c r="F733" s="52" t="s">
        <v>572</v>
      </c>
      <c r="G733" s="40"/>
      <c r="H733" s="40"/>
      <c r="I733" s="40"/>
      <c r="J733" s="75"/>
      <c r="K733" s="68"/>
      <c r="L733" s="68"/>
      <c r="M733" s="69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</row>
    <row r="734" spans="1:29" ht="20.25" customHeight="1">
      <c r="A734" s="86" t="s">
        <v>387</v>
      </c>
      <c r="B734" s="51">
        <v>810</v>
      </c>
      <c r="C734" s="52" t="s">
        <v>492</v>
      </c>
      <c r="D734" s="52" t="s">
        <v>809</v>
      </c>
      <c r="E734" s="52"/>
      <c r="F734" s="52"/>
      <c r="G734" s="40">
        <f>SUM(G735,G740,G749)</f>
        <v>861503.4000000001</v>
      </c>
      <c r="H734" s="40">
        <f>SUM(H735,H740,H749)</f>
        <v>744697.8</v>
      </c>
      <c r="I734" s="40">
        <f>SUM(I735,I740,I749)</f>
        <v>758361.7000000001</v>
      </c>
      <c r="J734" s="75"/>
      <c r="K734" s="68"/>
      <c r="L734" s="68"/>
      <c r="M734" s="69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</row>
    <row r="735" spans="1:29" ht="18" customHeight="1">
      <c r="A735" s="86" t="s">
        <v>97</v>
      </c>
      <c r="B735" s="51">
        <v>810</v>
      </c>
      <c r="C735" s="52" t="s">
        <v>492</v>
      </c>
      <c r="D735" s="52" t="s">
        <v>809</v>
      </c>
      <c r="E735" s="52" t="s">
        <v>392</v>
      </c>
      <c r="F735" s="52"/>
      <c r="G735" s="40">
        <f>SUM(G736,G738)</f>
        <v>207527</v>
      </c>
      <c r="H735" s="40">
        <f>SUM(H736,H738)</f>
        <v>221059.30000000002</v>
      </c>
      <c r="I735" s="40">
        <f>SUM(I736,I738)</f>
        <v>234438.2</v>
      </c>
      <c r="J735" s="75"/>
      <c r="K735" s="68"/>
      <c r="L735" s="68"/>
      <c r="M735" s="69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</row>
    <row r="736" spans="1:29" ht="19.5" customHeight="1">
      <c r="A736" s="50" t="s">
        <v>228</v>
      </c>
      <c r="B736" s="51">
        <v>810</v>
      </c>
      <c r="C736" s="52" t="s">
        <v>492</v>
      </c>
      <c r="D736" s="52" t="s">
        <v>809</v>
      </c>
      <c r="E736" s="52" t="s">
        <v>223</v>
      </c>
      <c r="F736" s="52"/>
      <c r="G736" s="40">
        <f>G737</f>
        <v>152963.5</v>
      </c>
      <c r="H736" s="40">
        <f>H737</f>
        <v>168894.7</v>
      </c>
      <c r="I736" s="40">
        <f>I737</f>
        <v>182273.6</v>
      </c>
      <c r="J736" s="75"/>
      <c r="K736" s="68"/>
      <c r="L736" s="68"/>
      <c r="M736" s="69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</row>
    <row r="737" spans="1:29" ht="18.75" customHeight="1">
      <c r="A737" s="50" t="s">
        <v>539</v>
      </c>
      <c r="B737" s="51">
        <v>810</v>
      </c>
      <c r="C737" s="52" t="s">
        <v>492</v>
      </c>
      <c r="D737" s="52" t="s">
        <v>809</v>
      </c>
      <c r="E737" s="52" t="s">
        <v>98</v>
      </c>
      <c r="F737" s="52" t="s">
        <v>68</v>
      </c>
      <c r="G737" s="40">
        <v>152963.5</v>
      </c>
      <c r="H737" s="40">
        <v>168894.7</v>
      </c>
      <c r="I737" s="40">
        <v>182273.6</v>
      </c>
      <c r="J737" s="75"/>
      <c r="K737" s="68"/>
      <c r="L737" s="68"/>
      <c r="M737" s="69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</row>
    <row r="738" spans="1:29" ht="20.25" customHeight="1">
      <c r="A738" s="50" t="s">
        <v>338</v>
      </c>
      <c r="B738" s="51">
        <v>810</v>
      </c>
      <c r="C738" s="52" t="s">
        <v>492</v>
      </c>
      <c r="D738" s="52" t="s">
        <v>809</v>
      </c>
      <c r="E738" s="52" t="s">
        <v>294</v>
      </c>
      <c r="F738" s="52"/>
      <c r="G738" s="40">
        <f>SUM(G739)</f>
        <v>54563.5</v>
      </c>
      <c r="H738" s="40">
        <f>SUM(H739)</f>
        <v>52164.6</v>
      </c>
      <c r="I738" s="40">
        <f>SUM(I739)</f>
        <v>52164.6</v>
      </c>
      <c r="J738" s="75"/>
      <c r="K738" s="68"/>
      <c r="L738" s="68"/>
      <c r="M738" s="69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</row>
    <row r="739" spans="1:29" s="89" customFormat="1" ht="19.5" customHeight="1">
      <c r="A739" s="50" t="s">
        <v>539</v>
      </c>
      <c r="B739" s="51">
        <v>810</v>
      </c>
      <c r="C739" s="52" t="s">
        <v>492</v>
      </c>
      <c r="D739" s="52" t="s">
        <v>809</v>
      </c>
      <c r="E739" s="52" t="s">
        <v>294</v>
      </c>
      <c r="F739" s="52" t="s">
        <v>68</v>
      </c>
      <c r="G739" s="40">
        <v>54563.5</v>
      </c>
      <c r="H739" s="40">
        <v>52164.6</v>
      </c>
      <c r="I739" s="40">
        <v>52164.6</v>
      </c>
      <c r="J739" s="75"/>
      <c r="K739" s="68"/>
      <c r="L739" s="68"/>
      <c r="M739" s="69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</row>
    <row r="740" spans="1:29" ht="19.5" customHeight="1">
      <c r="A740" s="50" t="s">
        <v>135</v>
      </c>
      <c r="B740" s="51">
        <v>810</v>
      </c>
      <c r="C740" s="52" t="s">
        <v>492</v>
      </c>
      <c r="D740" s="52" t="s">
        <v>809</v>
      </c>
      <c r="E740" s="52" t="s">
        <v>430</v>
      </c>
      <c r="F740" s="52"/>
      <c r="G740" s="40">
        <f>G741+G744</f>
        <v>7394.8</v>
      </c>
      <c r="H740" s="40">
        <f>H741+H744</f>
        <v>7849.9</v>
      </c>
      <c r="I740" s="40">
        <f>I741+I744</f>
        <v>8350.1</v>
      </c>
      <c r="J740" s="75"/>
      <c r="K740" s="68"/>
      <c r="L740" s="68"/>
      <c r="M740" s="69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</row>
    <row r="741" spans="1:29" ht="19.5" customHeight="1">
      <c r="A741" s="86" t="s">
        <v>193</v>
      </c>
      <c r="B741" s="51">
        <v>810</v>
      </c>
      <c r="C741" s="52" t="s">
        <v>492</v>
      </c>
      <c r="D741" s="52" t="s">
        <v>809</v>
      </c>
      <c r="E741" s="52" t="s">
        <v>431</v>
      </c>
      <c r="F741" s="52"/>
      <c r="G741" s="40">
        <f>G742</f>
        <v>6456</v>
      </c>
      <c r="H741" s="40">
        <f>H742</f>
        <v>6868.5</v>
      </c>
      <c r="I741" s="40">
        <f>I742</f>
        <v>7326.4</v>
      </c>
      <c r="J741" s="75"/>
      <c r="K741" s="68"/>
      <c r="L741" s="68"/>
      <c r="M741" s="69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</row>
    <row r="742" spans="1:29" ht="17.25" customHeight="1">
      <c r="A742" s="86" t="s">
        <v>813</v>
      </c>
      <c r="B742" s="51">
        <v>810</v>
      </c>
      <c r="C742" s="52" t="s">
        <v>492</v>
      </c>
      <c r="D742" s="52" t="s">
        <v>809</v>
      </c>
      <c r="E742" s="52" t="s">
        <v>812</v>
      </c>
      <c r="F742" s="52"/>
      <c r="G742" s="40">
        <f>SUM(G743:G743)</f>
        <v>6456</v>
      </c>
      <c r="H742" s="40">
        <f>SUM(H743:H743)</f>
        <v>6868.5</v>
      </c>
      <c r="I742" s="40">
        <f>SUM(I743:I743)</f>
        <v>7326.4</v>
      </c>
      <c r="J742" s="75"/>
      <c r="K742" s="68"/>
      <c r="L742" s="68"/>
      <c r="M742" s="69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</row>
    <row r="743" spans="1:29" ht="19.5" customHeight="1">
      <c r="A743" s="50" t="s">
        <v>224</v>
      </c>
      <c r="B743" s="51">
        <v>810</v>
      </c>
      <c r="C743" s="52" t="s">
        <v>492</v>
      </c>
      <c r="D743" s="52" t="s">
        <v>809</v>
      </c>
      <c r="E743" s="52" t="s">
        <v>812</v>
      </c>
      <c r="F743" s="52" t="s">
        <v>55</v>
      </c>
      <c r="G743" s="40">
        <v>6456</v>
      </c>
      <c r="H743" s="40">
        <v>6868.5</v>
      </c>
      <c r="I743" s="40">
        <v>7326.4</v>
      </c>
      <c r="J743" s="75"/>
      <c r="K743" s="68"/>
      <c r="L743" s="68"/>
      <c r="M743" s="69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</row>
    <row r="744" spans="1:29" ht="19.5" customHeight="1">
      <c r="A744" s="50" t="s">
        <v>8</v>
      </c>
      <c r="B744" s="51">
        <v>810</v>
      </c>
      <c r="C744" s="52" t="s">
        <v>492</v>
      </c>
      <c r="D744" s="52" t="s">
        <v>809</v>
      </c>
      <c r="E744" s="52" t="s">
        <v>5</v>
      </c>
      <c r="F744" s="52"/>
      <c r="G744" s="40">
        <f>G747+G745</f>
        <v>938.8</v>
      </c>
      <c r="H744" s="40">
        <f>H747+H745</f>
        <v>981.4000000000001</v>
      </c>
      <c r="I744" s="40">
        <f>I747+I745</f>
        <v>1023.6999999999999</v>
      </c>
      <c r="J744" s="75"/>
      <c r="K744" s="68"/>
      <c r="L744" s="68"/>
      <c r="M744" s="69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</row>
    <row r="745" spans="1:29" ht="36.75" customHeight="1">
      <c r="A745" s="50" t="s">
        <v>9</v>
      </c>
      <c r="B745" s="51">
        <v>810</v>
      </c>
      <c r="C745" s="52" t="s">
        <v>492</v>
      </c>
      <c r="D745" s="52" t="s">
        <v>809</v>
      </c>
      <c r="E745" s="52" t="s">
        <v>6</v>
      </c>
      <c r="F745" s="52"/>
      <c r="G745" s="40">
        <f>SUM(G746)</f>
        <v>576.8</v>
      </c>
      <c r="H745" s="40">
        <f>SUM(H746)</f>
        <v>601.2</v>
      </c>
      <c r="I745" s="40">
        <f>SUM(I746)</f>
        <v>625.3</v>
      </c>
      <c r="J745" s="75"/>
      <c r="K745" s="68"/>
      <c r="L745" s="68"/>
      <c r="M745" s="69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</row>
    <row r="746" spans="1:29" ht="18" customHeight="1">
      <c r="A746" s="50" t="s">
        <v>539</v>
      </c>
      <c r="B746" s="51">
        <v>810</v>
      </c>
      <c r="C746" s="52" t="s">
        <v>492</v>
      </c>
      <c r="D746" s="52" t="s">
        <v>809</v>
      </c>
      <c r="E746" s="52" t="s">
        <v>6</v>
      </c>
      <c r="F746" s="52" t="s">
        <v>68</v>
      </c>
      <c r="G746" s="40">
        <v>576.8</v>
      </c>
      <c r="H746" s="40">
        <v>601.2</v>
      </c>
      <c r="I746" s="40">
        <v>625.3</v>
      </c>
      <c r="J746" s="75"/>
      <c r="K746" s="68"/>
      <c r="L746" s="68"/>
      <c r="M746" s="69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</row>
    <row r="747" spans="1:29" ht="33">
      <c r="A747" s="50" t="s">
        <v>10</v>
      </c>
      <c r="B747" s="51">
        <v>810</v>
      </c>
      <c r="C747" s="52" t="s">
        <v>492</v>
      </c>
      <c r="D747" s="52" t="s">
        <v>809</v>
      </c>
      <c r="E747" s="52" t="s">
        <v>7</v>
      </c>
      <c r="F747" s="52"/>
      <c r="G747" s="40">
        <f>SUM(G748)</f>
        <v>362</v>
      </c>
      <c r="H747" s="40">
        <f>SUM(H748)</f>
        <v>380.2</v>
      </c>
      <c r="I747" s="40">
        <f>SUM(I748)</f>
        <v>398.4</v>
      </c>
      <c r="J747" s="75"/>
      <c r="K747" s="68"/>
      <c r="L747" s="68"/>
      <c r="M747" s="69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</row>
    <row r="748" spans="1:29" ht="18" customHeight="1">
      <c r="A748" s="50" t="s">
        <v>539</v>
      </c>
      <c r="B748" s="51">
        <v>810</v>
      </c>
      <c r="C748" s="52" t="s">
        <v>492</v>
      </c>
      <c r="D748" s="52" t="s">
        <v>809</v>
      </c>
      <c r="E748" s="52" t="s">
        <v>7</v>
      </c>
      <c r="F748" s="52" t="s">
        <v>68</v>
      </c>
      <c r="G748" s="40">
        <v>362</v>
      </c>
      <c r="H748" s="40">
        <v>380.2</v>
      </c>
      <c r="I748" s="40">
        <v>398.4</v>
      </c>
      <c r="J748" s="75"/>
      <c r="K748" s="68"/>
      <c r="L748" s="68"/>
      <c r="M748" s="69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</row>
    <row r="749" spans="1:29" ht="18" customHeight="1">
      <c r="A749" s="85" t="s">
        <v>29</v>
      </c>
      <c r="B749" s="51">
        <v>810</v>
      </c>
      <c r="C749" s="52" t="s">
        <v>492</v>
      </c>
      <c r="D749" s="52" t="s">
        <v>809</v>
      </c>
      <c r="E749" s="52" t="s">
        <v>30</v>
      </c>
      <c r="F749" s="52"/>
      <c r="G749" s="40">
        <f>G753+G755+G750</f>
        <v>646581.6000000001</v>
      </c>
      <c r="H749" s="40">
        <f>H753+H755+H750</f>
        <v>515788.6</v>
      </c>
      <c r="I749" s="40">
        <f>I753+I755+I750</f>
        <v>515573.4</v>
      </c>
      <c r="J749" s="75"/>
      <c r="K749" s="68"/>
      <c r="L749" s="68"/>
      <c r="M749" s="69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</row>
    <row r="750" spans="1:29" ht="18" customHeight="1">
      <c r="A750" s="81" t="s">
        <v>34</v>
      </c>
      <c r="B750" s="51">
        <v>810</v>
      </c>
      <c r="C750" s="52" t="s">
        <v>492</v>
      </c>
      <c r="D750" s="52" t="s">
        <v>809</v>
      </c>
      <c r="E750" s="52" t="s">
        <v>33</v>
      </c>
      <c r="F750" s="52"/>
      <c r="G750" s="40">
        <f aca="true" t="shared" si="77" ref="G750:I751">G751</f>
        <v>730.8</v>
      </c>
      <c r="H750" s="40">
        <f t="shared" si="77"/>
        <v>698</v>
      </c>
      <c r="I750" s="40">
        <f t="shared" si="77"/>
        <v>698</v>
      </c>
      <c r="J750" s="75"/>
      <c r="K750" s="68"/>
      <c r="L750" s="68"/>
      <c r="M750" s="69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</row>
    <row r="751" spans="1:29" ht="89.25" customHeight="1">
      <c r="A751" s="81" t="s">
        <v>614</v>
      </c>
      <c r="B751" s="51">
        <v>810</v>
      </c>
      <c r="C751" s="52" t="s">
        <v>492</v>
      </c>
      <c r="D751" s="52" t="s">
        <v>809</v>
      </c>
      <c r="E751" s="52" t="s">
        <v>35</v>
      </c>
      <c r="F751" s="52"/>
      <c r="G751" s="40">
        <f t="shared" si="77"/>
        <v>730.8</v>
      </c>
      <c r="H751" s="40">
        <f t="shared" si="77"/>
        <v>698</v>
      </c>
      <c r="I751" s="40">
        <f t="shared" si="77"/>
        <v>698</v>
      </c>
      <c r="J751" s="75"/>
      <c r="K751" s="68"/>
      <c r="L751" s="68"/>
      <c r="M751" s="69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</row>
    <row r="752" spans="1:29" ht="18" customHeight="1">
      <c r="A752" s="85" t="s">
        <v>567</v>
      </c>
      <c r="B752" s="51">
        <v>810</v>
      </c>
      <c r="C752" s="52" t="s">
        <v>492</v>
      </c>
      <c r="D752" s="52" t="s">
        <v>809</v>
      </c>
      <c r="E752" s="52" t="s">
        <v>35</v>
      </c>
      <c r="F752" s="52" t="s">
        <v>68</v>
      </c>
      <c r="G752" s="40">
        <v>730.8</v>
      </c>
      <c r="H752" s="40">
        <v>698</v>
      </c>
      <c r="I752" s="40">
        <v>698</v>
      </c>
      <c r="J752" s="75"/>
      <c r="K752" s="68"/>
      <c r="L752" s="68"/>
      <c r="M752" s="69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</row>
    <row r="753" spans="1:29" ht="90" customHeight="1">
      <c r="A753" s="85" t="s">
        <v>615</v>
      </c>
      <c r="B753" s="51">
        <v>810</v>
      </c>
      <c r="C753" s="52" t="s">
        <v>492</v>
      </c>
      <c r="D753" s="52" t="s">
        <v>809</v>
      </c>
      <c r="E753" s="52" t="s">
        <v>28</v>
      </c>
      <c r="F753" s="52"/>
      <c r="G753" s="40">
        <f>G754</f>
        <v>502950.8</v>
      </c>
      <c r="H753" s="40">
        <f>H754</f>
        <v>379247.2</v>
      </c>
      <c r="I753" s="40">
        <f>I754</f>
        <v>379032</v>
      </c>
      <c r="J753" s="75"/>
      <c r="K753" s="68"/>
      <c r="L753" s="68"/>
      <c r="M753" s="69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</row>
    <row r="754" spans="1:29" ht="18" customHeight="1">
      <c r="A754" s="85" t="s">
        <v>567</v>
      </c>
      <c r="B754" s="51">
        <v>810</v>
      </c>
      <c r="C754" s="52" t="s">
        <v>492</v>
      </c>
      <c r="D754" s="52" t="s">
        <v>809</v>
      </c>
      <c r="E754" s="52" t="s">
        <v>28</v>
      </c>
      <c r="F754" s="52" t="s">
        <v>68</v>
      </c>
      <c r="G754" s="40">
        <v>502950.8</v>
      </c>
      <c r="H754" s="40">
        <v>379247.2</v>
      </c>
      <c r="I754" s="40">
        <v>379032</v>
      </c>
      <c r="J754" s="75"/>
      <c r="K754" s="68"/>
      <c r="L754" s="68"/>
      <c r="M754" s="69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</row>
    <row r="755" spans="1:29" ht="105" customHeight="1">
      <c r="A755" s="85" t="s">
        <v>616</v>
      </c>
      <c r="B755" s="51">
        <v>810</v>
      </c>
      <c r="C755" s="52" t="s">
        <v>492</v>
      </c>
      <c r="D755" s="52" t="s">
        <v>809</v>
      </c>
      <c r="E755" s="52" t="s">
        <v>31</v>
      </c>
      <c r="F755" s="52"/>
      <c r="G755" s="40">
        <f>G756</f>
        <v>142900</v>
      </c>
      <c r="H755" s="40">
        <f>H756</f>
        <v>135843.4</v>
      </c>
      <c r="I755" s="40">
        <f>I756</f>
        <v>135843.4</v>
      </c>
      <c r="J755" s="75"/>
      <c r="K755" s="68"/>
      <c r="L755" s="68"/>
      <c r="M755" s="69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</row>
    <row r="756" spans="1:29" ht="18" customHeight="1">
      <c r="A756" s="85" t="s">
        <v>567</v>
      </c>
      <c r="B756" s="51">
        <v>810</v>
      </c>
      <c r="C756" s="52" t="s">
        <v>492</v>
      </c>
      <c r="D756" s="52" t="s">
        <v>809</v>
      </c>
      <c r="E756" s="52" t="s">
        <v>31</v>
      </c>
      <c r="F756" s="52" t="s">
        <v>68</v>
      </c>
      <c r="G756" s="40">
        <v>142900</v>
      </c>
      <c r="H756" s="40">
        <v>135843.4</v>
      </c>
      <c r="I756" s="40">
        <v>135843.4</v>
      </c>
      <c r="J756" s="75"/>
      <c r="K756" s="68"/>
      <c r="L756" s="68"/>
      <c r="M756" s="69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</row>
    <row r="757" spans="1:29" ht="18" customHeight="1">
      <c r="A757" s="85" t="s">
        <v>493</v>
      </c>
      <c r="B757" s="51">
        <v>810</v>
      </c>
      <c r="C757" s="52" t="s">
        <v>492</v>
      </c>
      <c r="D757" s="52" t="s">
        <v>811</v>
      </c>
      <c r="E757" s="52"/>
      <c r="F757" s="52"/>
      <c r="G757" s="40">
        <f>SUM(G758,G761,G774,G764,G771)</f>
        <v>26983.3</v>
      </c>
      <c r="H757" s="40">
        <f>SUM(H758,H761,H774,H764,H771)</f>
        <v>22890.799999999996</v>
      </c>
      <c r="I757" s="40">
        <f>SUM(I758,I761,I774,I764,I771)</f>
        <v>23282.399999999998</v>
      </c>
      <c r="J757" s="75"/>
      <c r="K757" s="68"/>
      <c r="L757" s="68"/>
      <c r="M757" s="69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</row>
    <row r="758" spans="1:29" ht="38.25" customHeight="1">
      <c r="A758" s="81" t="s">
        <v>42</v>
      </c>
      <c r="B758" s="51">
        <v>810</v>
      </c>
      <c r="C758" s="52" t="s">
        <v>492</v>
      </c>
      <c r="D758" s="52" t="s">
        <v>811</v>
      </c>
      <c r="E758" s="52" t="s">
        <v>43</v>
      </c>
      <c r="F758" s="52"/>
      <c r="G758" s="40">
        <f aca="true" t="shared" si="78" ref="G758:I759">SUM(G759)</f>
        <v>24520.8</v>
      </c>
      <c r="H758" s="40">
        <f t="shared" si="78"/>
        <v>20784.399999999998</v>
      </c>
      <c r="I758" s="40">
        <f t="shared" si="78"/>
        <v>20845.899999999998</v>
      </c>
      <c r="J758" s="75"/>
      <c r="K758" s="68"/>
      <c r="L758" s="68"/>
      <c r="M758" s="69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</row>
    <row r="759" spans="1:29" ht="18" customHeight="1">
      <c r="A759" s="81" t="s">
        <v>47</v>
      </c>
      <c r="B759" s="51">
        <v>810</v>
      </c>
      <c r="C759" s="52" t="s">
        <v>492</v>
      </c>
      <c r="D759" s="52" t="s">
        <v>811</v>
      </c>
      <c r="E759" s="52" t="s">
        <v>45</v>
      </c>
      <c r="F759" s="52"/>
      <c r="G759" s="40">
        <f t="shared" si="78"/>
        <v>24520.8</v>
      </c>
      <c r="H759" s="40">
        <f t="shared" si="78"/>
        <v>20784.399999999998</v>
      </c>
      <c r="I759" s="40">
        <f t="shared" si="78"/>
        <v>20845.899999999998</v>
      </c>
      <c r="J759" s="75"/>
      <c r="K759" s="68"/>
      <c r="L759" s="68"/>
      <c r="M759" s="69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</row>
    <row r="760" spans="1:29" ht="18" customHeight="1">
      <c r="A760" s="82" t="s">
        <v>361</v>
      </c>
      <c r="B760" s="51">
        <v>810</v>
      </c>
      <c r="C760" s="52" t="s">
        <v>492</v>
      </c>
      <c r="D760" s="52" t="s">
        <v>811</v>
      </c>
      <c r="E760" s="52" t="s">
        <v>45</v>
      </c>
      <c r="F760" s="52" t="s">
        <v>214</v>
      </c>
      <c r="G760" s="40">
        <f>21654.5+2866.3</f>
        <v>24520.8</v>
      </c>
      <c r="H760" s="40">
        <f>17918.1+2866.3</f>
        <v>20784.399999999998</v>
      </c>
      <c r="I760" s="40">
        <f>17979.6+2866.3</f>
        <v>20845.899999999998</v>
      </c>
      <c r="J760" s="75"/>
      <c r="K760" s="68"/>
      <c r="L760" s="68"/>
      <c r="M760" s="69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</row>
    <row r="761" spans="1:29" ht="38.25" customHeight="1">
      <c r="A761" s="81" t="s">
        <v>0</v>
      </c>
      <c r="B761" s="51">
        <v>810</v>
      </c>
      <c r="C761" s="52" t="s">
        <v>492</v>
      </c>
      <c r="D761" s="52" t="s">
        <v>811</v>
      </c>
      <c r="E761" s="52" t="s">
        <v>555</v>
      </c>
      <c r="F761" s="52"/>
      <c r="G761" s="40">
        <f aca="true" t="shared" si="79" ref="G761:I762">SUM(G762)</f>
        <v>862.3</v>
      </c>
      <c r="H761" s="40">
        <f t="shared" si="79"/>
        <v>871.8</v>
      </c>
      <c r="I761" s="40">
        <f t="shared" si="79"/>
        <v>881.9</v>
      </c>
      <c r="J761" s="75"/>
      <c r="K761" s="68"/>
      <c r="L761" s="68"/>
      <c r="M761" s="69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</row>
    <row r="762" spans="1:29" ht="18" customHeight="1">
      <c r="A762" s="85" t="s">
        <v>403</v>
      </c>
      <c r="B762" s="51">
        <v>810</v>
      </c>
      <c r="C762" s="52" t="s">
        <v>492</v>
      </c>
      <c r="D762" s="52" t="s">
        <v>811</v>
      </c>
      <c r="E762" s="52" t="s">
        <v>556</v>
      </c>
      <c r="F762" s="52"/>
      <c r="G762" s="40">
        <f t="shared" si="79"/>
        <v>862.3</v>
      </c>
      <c r="H762" s="40">
        <f t="shared" si="79"/>
        <v>871.8</v>
      </c>
      <c r="I762" s="40">
        <f t="shared" si="79"/>
        <v>881.9</v>
      </c>
      <c r="J762" s="75"/>
      <c r="K762" s="68"/>
      <c r="L762" s="68"/>
      <c r="M762" s="69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</row>
    <row r="763" spans="1:29" ht="18" customHeight="1">
      <c r="A763" s="81" t="s">
        <v>13</v>
      </c>
      <c r="B763" s="51">
        <v>810</v>
      </c>
      <c r="C763" s="52" t="s">
        <v>492</v>
      </c>
      <c r="D763" s="52" t="s">
        <v>811</v>
      </c>
      <c r="E763" s="52" t="s">
        <v>556</v>
      </c>
      <c r="F763" s="52" t="s">
        <v>572</v>
      </c>
      <c r="G763" s="40">
        <v>862.3</v>
      </c>
      <c r="H763" s="40">
        <v>871.8</v>
      </c>
      <c r="I763" s="40">
        <v>881.9</v>
      </c>
      <c r="J763" s="75"/>
      <c r="K763" s="68"/>
      <c r="L763" s="68"/>
      <c r="M763" s="69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</row>
    <row r="764" spans="1:29" ht="18" customHeight="1" hidden="1">
      <c r="A764" s="86" t="s">
        <v>97</v>
      </c>
      <c r="B764" s="51">
        <v>810</v>
      </c>
      <c r="C764" s="52" t="s">
        <v>492</v>
      </c>
      <c r="D764" s="52" t="s">
        <v>811</v>
      </c>
      <c r="E764" s="52" t="s">
        <v>392</v>
      </c>
      <c r="F764" s="52"/>
      <c r="G764" s="40">
        <f>SUM(G765,G768)</f>
        <v>0</v>
      </c>
      <c r="H764" s="40">
        <f>SUM(H765,H768)</f>
        <v>0</v>
      </c>
      <c r="I764" s="40">
        <f>SUM(I765,I768)</f>
        <v>0</v>
      </c>
      <c r="J764" s="75"/>
      <c r="K764" s="68"/>
      <c r="L764" s="68"/>
      <c r="M764" s="69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</row>
    <row r="765" spans="1:29" ht="18" customHeight="1" hidden="1">
      <c r="A765" s="50" t="s">
        <v>228</v>
      </c>
      <c r="B765" s="51">
        <v>810</v>
      </c>
      <c r="C765" s="52" t="s">
        <v>492</v>
      </c>
      <c r="D765" s="52" t="s">
        <v>811</v>
      </c>
      <c r="E765" s="52" t="s">
        <v>98</v>
      </c>
      <c r="F765" s="52"/>
      <c r="G765" s="40"/>
      <c r="H765" s="40"/>
      <c r="I765" s="40"/>
      <c r="J765" s="75"/>
      <c r="K765" s="68"/>
      <c r="L765" s="68"/>
      <c r="M765" s="69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</row>
    <row r="766" spans="1:29" ht="18" customHeight="1" hidden="1">
      <c r="A766" s="81" t="s">
        <v>377</v>
      </c>
      <c r="B766" s="51">
        <v>810</v>
      </c>
      <c r="C766" s="52" t="s">
        <v>492</v>
      </c>
      <c r="D766" s="52" t="s">
        <v>811</v>
      </c>
      <c r="E766" s="52" t="s">
        <v>98</v>
      </c>
      <c r="F766" s="52" t="s">
        <v>212</v>
      </c>
      <c r="G766" s="40"/>
      <c r="H766" s="40"/>
      <c r="I766" s="40"/>
      <c r="J766" s="75"/>
      <c r="K766" s="68"/>
      <c r="L766" s="68"/>
      <c r="M766" s="69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</row>
    <row r="767" spans="1:29" ht="18" customHeight="1" hidden="1">
      <c r="A767" s="50" t="s">
        <v>293</v>
      </c>
      <c r="B767" s="51">
        <v>810</v>
      </c>
      <c r="C767" s="52" t="s">
        <v>492</v>
      </c>
      <c r="D767" s="52" t="s">
        <v>811</v>
      </c>
      <c r="E767" s="52" t="s">
        <v>294</v>
      </c>
      <c r="F767" s="52"/>
      <c r="G767" s="40">
        <f>SUM(G768)</f>
        <v>0</v>
      </c>
      <c r="H767" s="40">
        <f>SUM(H768)</f>
        <v>0</v>
      </c>
      <c r="I767" s="40">
        <f>SUM(I768)</f>
        <v>0</v>
      </c>
      <c r="J767" s="75"/>
      <c r="K767" s="68"/>
      <c r="L767" s="68"/>
      <c r="M767" s="69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</row>
    <row r="768" spans="1:29" ht="35.25" customHeight="1" hidden="1">
      <c r="A768" s="50" t="s">
        <v>117</v>
      </c>
      <c r="B768" s="51">
        <v>810</v>
      </c>
      <c r="C768" s="52" t="s">
        <v>492</v>
      </c>
      <c r="D768" s="52" t="s">
        <v>811</v>
      </c>
      <c r="E768" s="52" t="s">
        <v>294</v>
      </c>
      <c r="F768" s="52"/>
      <c r="G768" s="40">
        <f>G769+G770</f>
        <v>0</v>
      </c>
      <c r="H768" s="40">
        <f>H769+H770</f>
        <v>0</v>
      </c>
      <c r="I768" s="40">
        <f>I769+I770</f>
        <v>0</v>
      </c>
      <c r="J768" s="75"/>
      <c r="K768" s="68"/>
      <c r="L768" s="68"/>
      <c r="M768" s="69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</row>
    <row r="769" spans="1:29" ht="19.5" customHeight="1" hidden="1">
      <c r="A769" s="81" t="s">
        <v>13</v>
      </c>
      <c r="B769" s="51">
        <v>810</v>
      </c>
      <c r="C769" s="52" t="s">
        <v>492</v>
      </c>
      <c r="D769" s="52" t="s">
        <v>811</v>
      </c>
      <c r="E769" s="52" t="s">
        <v>294</v>
      </c>
      <c r="F769" s="52" t="s">
        <v>572</v>
      </c>
      <c r="G769" s="40"/>
      <c r="H769" s="40"/>
      <c r="I769" s="40"/>
      <c r="J769" s="75"/>
      <c r="K769" s="68"/>
      <c r="L769" s="68"/>
      <c r="M769" s="69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</row>
    <row r="770" spans="1:29" ht="18" customHeight="1" hidden="1">
      <c r="A770" s="81" t="s">
        <v>377</v>
      </c>
      <c r="B770" s="51">
        <v>810</v>
      </c>
      <c r="C770" s="52" t="s">
        <v>492</v>
      </c>
      <c r="D770" s="52" t="s">
        <v>811</v>
      </c>
      <c r="E770" s="52" t="s">
        <v>294</v>
      </c>
      <c r="F770" s="52" t="s">
        <v>212</v>
      </c>
      <c r="G770" s="40"/>
      <c r="H770" s="40"/>
      <c r="I770" s="40"/>
      <c r="J770" s="75"/>
      <c r="K770" s="68"/>
      <c r="L770" s="68"/>
      <c r="M770" s="69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</row>
    <row r="771" spans="1:29" ht="18" customHeight="1">
      <c r="A771" s="85" t="s">
        <v>29</v>
      </c>
      <c r="B771" s="51">
        <v>810</v>
      </c>
      <c r="C771" s="52" t="s">
        <v>492</v>
      </c>
      <c r="D771" s="52" t="s">
        <v>811</v>
      </c>
      <c r="E771" s="52" t="s">
        <v>30</v>
      </c>
      <c r="F771" s="52"/>
      <c r="G771" s="40">
        <f>SUM(G772)</f>
        <v>1300.2</v>
      </c>
      <c r="H771" s="40">
        <f>SUM(H772)</f>
        <v>1234.6</v>
      </c>
      <c r="I771" s="40">
        <f>SUM(I772)</f>
        <v>1234.6</v>
      </c>
      <c r="J771" s="75"/>
      <c r="K771" s="68"/>
      <c r="L771" s="68"/>
      <c r="M771" s="69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</row>
    <row r="772" spans="1:29" ht="36" customHeight="1">
      <c r="A772" s="82" t="s">
        <v>618</v>
      </c>
      <c r="B772" s="51">
        <v>810</v>
      </c>
      <c r="C772" s="52" t="s">
        <v>492</v>
      </c>
      <c r="D772" s="52" t="s">
        <v>811</v>
      </c>
      <c r="E772" s="52" t="s">
        <v>352</v>
      </c>
      <c r="F772" s="52"/>
      <c r="G772" s="40">
        <f>G773</f>
        <v>1300.2</v>
      </c>
      <c r="H772" s="40">
        <f>H773</f>
        <v>1234.6</v>
      </c>
      <c r="I772" s="40">
        <f>I773</f>
        <v>1234.6</v>
      </c>
      <c r="J772" s="75"/>
      <c r="K772" s="68"/>
      <c r="L772" s="68"/>
      <c r="M772" s="69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</row>
    <row r="773" spans="1:29" ht="18" customHeight="1">
      <c r="A773" s="81" t="s">
        <v>377</v>
      </c>
      <c r="B773" s="51">
        <v>810</v>
      </c>
      <c r="C773" s="52" t="s">
        <v>492</v>
      </c>
      <c r="D773" s="52" t="s">
        <v>811</v>
      </c>
      <c r="E773" s="52" t="s">
        <v>352</v>
      </c>
      <c r="F773" s="52" t="s">
        <v>212</v>
      </c>
      <c r="G773" s="40">
        <v>1300.2</v>
      </c>
      <c r="H773" s="40">
        <v>1234.6</v>
      </c>
      <c r="I773" s="40">
        <v>1234.6</v>
      </c>
      <c r="J773" s="75"/>
      <c r="K773" s="68"/>
      <c r="L773" s="68"/>
      <c r="M773" s="69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</row>
    <row r="774" spans="1:29" ht="18" customHeight="1">
      <c r="A774" s="86" t="s">
        <v>364</v>
      </c>
      <c r="B774" s="51">
        <v>810</v>
      </c>
      <c r="C774" s="52" t="s">
        <v>492</v>
      </c>
      <c r="D774" s="52" t="s">
        <v>811</v>
      </c>
      <c r="E774" s="83" t="s">
        <v>358</v>
      </c>
      <c r="F774" s="83"/>
      <c r="G774" s="40">
        <f>SUM(G776)</f>
        <v>300</v>
      </c>
      <c r="H774" s="40">
        <f>SUM(H776)</f>
        <v>0</v>
      </c>
      <c r="I774" s="40">
        <f>SUM(I776)</f>
        <v>320</v>
      </c>
      <c r="J774" s="75"/>
      <c r="K774" s="68"/>
      <c r="L774" s="68"/>
      <c r="M774" s="69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</row>
    <row r="775" spans="1:29" ht="18" customHeight="1">
      <c r="A775" s="86" t="s">
        <v>394</v>
      </c>
      <c r="B775" s="51">
        <v>810</v>
      </c>
      <c r="C775" s="52" t="s">
        <v>492</v>
      </c>
      <c r="D775" s="52" t="s">
        <v>811</v>
      </c>
      <c r="E775" s="83" t="s">
        <v>359</v>
      </c>
      <c r="F775" s="83"/>
      <c r="G775" s="40">
        <f>G776</f>
        <v>300</v>
      </c>
      <c r="H775" s="40">
        <f>H776</f>
        <v>0</v>
      </c>
      <c r="I775" s="40">
        <f>I776</f>
        <v>320</v>
      </c>
      <c r="J775" s="75"/>
      <c r="K775" s="68"/>
      <c r="L775" s="68"/>
      <c r="M775" s="69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</row>
    <row r="776" spans="1:29" ht="20.25" customHeight="1">
      <c r="A776" s="85" t="s">
        <v>215</v>
      </c>
      <c r="B776" s="51">
        <v>810</v>
      </c>
      <c r="C776" s="52" t="s">
        <v>492</v>
      </c>
      <c r="D776" s="52" t="s">
        <v>811</v>
      </c>
      <c r="E776" s="52" t="s">
        <v>369</v>
      </c>
      <c r="F776" s="52"/>
      <c r="G776" s="40">
        <f>SUM(G777)</f>
        <v>300</v>
      </c>
      <c r="H776" s="40">
        <f>SUM(H777)</f>
        <v>0</v>
      </c>
      <c r="I776" s="40">
        <f>SUM(I777)</f>
        <v>320</v>
      </c>
      <c r="J776" s="75"/>
      <c r="K776" s="68"/>
      <c r="L776" s="68"/>
      <c r="M776" s="69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</row>
    <row r="777" spans="1:29" ht="18" customHeight="1">
      <c r="A777" s="82" t="s">
        <v>524</v>
      </c>
      <c r="B777" s="51">
        <v>810</v>
      </c>
      <c r="C777" s="52" t="s">
        <v>492</v>
      </c>
      <c r="D777" s="52" t="s">
        <v>811</v>
      </c>
      <c r="E777" s="52" t="s">
        <v>369</v>
      </c>
      <c r="F777" s="52" t="s">
        <v>55</v>
      </c>
      <c r="G777" s="40">
        <v>300</v>
      </c>
      <c r="H777" s="40"/>
      <c r="I777" s="40">
        <v>320</v>
      </c>
      <c r="J777" s="75"/>
      <c r="K777" s="68"/>
      <c r="L777" s="68"/>
      <c r="M777" s="69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</row>
    <row r="778" spans="1:29" ht="19.5" customHeight="1">
      <c r="A778" s="63" t="s">
        <v>109</v>
      </c>
      <c r="B778" s="51">
        <v>811</v>
      </c>
      <c r="C778" s="52"/>
      <c r="D778" s="52"/>
      <c r="E778" s="87"/>
      <c r="F778" s="87"/>
      <c r="G778" s="40">
        <f>SUM(G779,G792)</f>
        <v>39007.8</v>
      </c>
      <c r="H778" s="40">
        <f>SUM(H779,H792)</f>
        <v>30421.300000000003</v>
      </c>
      <c r="I778" s="40">
        <f>SUM(I779,I792)</f>
        <v>29871.800000000003</v>
      </c>
      <c r="J778" s="75"/>
      <c r="K778" s="68"/>
      <c r="L778" s="68"/>
      <c r="M778" s="69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</row>
    <row r="779" spans="1:29" ht="19.5" customHeight="1">
      <c r="A779" s="79" t="s">
        <v>15</v>
      </c>
      <c r="B779" s="51">
        <v>811</v>
      </c>
      <c r="C779" s="52" t="s">
        <v>807</v>
      </c>
      <c r="D779" s="52"/>
      <c r="E779" s="87"/>
      <c r="F779" s="87"/>
      <c r="G779" s="40">
        <f>SUM(G780)</f>
        <v>13950.4</v>
      </c>
      <c r="H779" s="40">
        <f>SUM(H780)</f>
        <v>5318.9</v>
      </c>
      <c r="I779" s="40">
        <f>SUM(I780)</f>
        <v>4727</v>
      </c>
      <c r="J779" s="75"/>
      <c r="K779" s="68"/>
      <c r="L779" s="68"/>
      <c r="M779" s="69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</row>
    <row r="780" spans="1:29" ht="19.5" customHeight="1">
      <c r="A780" s="85" t="s">
        <v>327</v>
      </c>
      <c r="B780" s="51">
        <v>811</v>
      </c>
      <c r="C780" s="52" t="s">
        <v>807</v>
      </c>
      <c r="D780" s="52" t="s">
        <v>508</v>
      </c>
      <c r="E780" s="87"/>
      <c r="F780" s="87"/>
      <c r="G780" s="40">
        <f>SUM(G783,G786,G789,G781)</f>
        <v>13950.4</v>
      </c>
      <c r="H780" s="40">
        <f>SUM(H783,H786,H789)</f>
        <v>5318.9</v>
      </c>
      <c r="I780" s="40">
        <f>SUM(I783,I786,I789)</f>
        <v>4727</v>
      </c>
      <c r="J780" s="75"/>
      <c r="K780" s="68"/>
      <c r="L780" s="68"/>
      <c r="M780" s="69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</row>
    <row r="781" spans="1:29" ht="18" customHeight="1" hidden="1">
      <c r="A781" s="82" t="s">
        <v>619</v>
      </c>
      <c r="B781" s="51">
        <v>811</v>
      </c>
      <c r="C781" s="52" t="s">
        <v>807</v>
      </c>
      <c r="D781" s="52" t="s">
        <v>508</v>
      </c>
      <c r="E781" s="52" t="s">
        <v>221</v>
      </c>
      <c r="F781" s="52"/>
      <c r="G781" s="40">
        <f>G782</f>
        <v>2768</v>
      </c>
      <c r="H781" s="40">
        <f>H782</f>
        <v>0</v>
      </c>
      <c r="I781" s="40">
        <f>I782</f>
        <v>0</v>
      </c>
      <c r="J781" s="75"/>
      <c r="K781" s="68"/>
      <c r="L781" s="68"/>
      <c r="M781" s="69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</row>
    <row r="782" spans="1:29" ht="19.5" customHeight="1" hidden="1">
      <c r="A782" s="81" t="s">
        <v>377</v>
      </c>
      <c r="B782" s="51">
        <v>811</v>
      </c>
      <c r="C782" s="52" t="s">
        <v>807</v>
      </c>
      <c r="D782" s="52" t="s">
        <v>508</v>
      </c>
      <c r="E782" s="52" t="s">
        <v>221</v>
      </c>
      <c r="F782" s="52" t="s">
        <v>212</v>
      </c>
      <c r="G782" s="40">
        <v>2768</v>
      </c>
      <c r="H782" s="40"/>
      <c r="I782" s="40"/>
      <c r="J782" s="75"/>
      <c r="K782" s="68"/>
      <c r="L782" s="68"/>
      <c r="M782" s="69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</row>
    <row r="783" spans="1:29" ht="39" customHeight="1">
      <c r="A783" s="81" t="s">
        <v>42</v>
      </c>
      <c r="B783" s="51">
        <v>811</v>
      </c>
      <c r="C783" s="52" t="s">
        <v>807</v>
      </c>
      <c r="D783" s="52" t="s">
        <v>508</v>
      </c>
      <c r="E783" s="87" t="s">
        <v>43</v>
      </c>
      <c r="F783" s="87"/>
      <c r="G783" s="40">
        <f aca="true" t="shared" si="80" ref="G783:I784">SUM(G784)</f>
        <v>1629</v>
      </c>
      <c r="H783" s="40">
        <f t="shared" si="80"/>
        <v>1629</v>
      </c>
      <c r="I783" s="40">
        <f t="shared" si="80"/>
        <v>1629</v>
      </c>
      <c r="J783" s="75"/>
      <c r="K783" s="68"/>
      <c r="L783" s="68"/>
      <c r="M783" s="69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</row>
    <row r="784" spans="1:29" ht="21" customHeight="1">
      <c r="A784" s="86" t="s">
        <v>195</v>
      </c>
      <c r="B784" s="51">
        <v>811</v>
      </c>
      <c r="C784" s="52" t="s">
        <v>807</v>
      </c>
      <c r="D784" s="52" t="s">
        <v>508</v>
      </c>
      <c r="E784" s="52" t="s">
        <v>194</v>
      </c>
      <c r="F784" s="52"/>
      <c r="G784" s="40">
        <f t="shared" si="80"/>
        <v>1629</v>
      </c>
      <c r="H784" s="40">
        <f t="shared" si="80"/>
        <v>1629</v>
      </c>
      <c r="I784" s="40">
        <f t="shared" si="80"/>
        <v>1629</v>
      </c>
      <c r="J784" s="75"/>
      <c r="K784" s="68"/>
      <c r="L784" s="68"/>
      <c r="M784" s="69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</row>
    <row r="785" spans="1:29" ht="19.5" customHeight="1">
      <c r="A785" s="82" t="s">
        <v>361</v>
      </c>
      <c r="B785" s="51">
        <v>811</v>
      </c>
      <c r="C785" s="52" t="s">
        <v>807</v>
      </c>
      <c r="D785" s="52" t="s">
        <v>508</v>
      </c>
      <c r="E785" s="52" t="s">
        <v>194</v>
      </c>
      <c r="F785" s="52" t="s">
        <v>214</v>
      </c>
      <c r="G785" s="40">
        <v>1629</v>
      </c>
      <c r="H785" s="40">
        <v>1629</v>
      </c>
      <c r="I785" s="40">
        <v>1629</v>
      </c>
      <c r="J785" s="75"/>
      <c r="K785" s="68"/>
      <c r="L785" s="68"/>
      <c r="M785" s="69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</row>
    <row r="786" spans="1:29" ht="38.25" customHeight="1">
      <c r="A786" s="81" t="s">
        <v>114</v>
      </c>
      <c r="B786" s="51">
        <v>811</v>
      </c>
      <c r="C786" s="52" t="s">
        <v>807</v>
      </c>
      <c r="D786" s="52" t="s">
        <v>508</v>
      </c>
      <c r="E786" s="52" t="s">
        <v>196</v>
      </c>
      <c r="F786" s="52"/>
      <c r="G786" s="40">
        <f aca="true" t="shared" si="81" ref="G786:I787">SUM(G787)</f>
        <v>6778.4</v>
      </c>
      <c r="H786" s="40">
        <f t="shared" si="81"/>
        <v>3254.9</v>
      </c>
      <c r="I786" s="40">
        <f t="shared" si="81"/>
        <v>2698</v>
      </c>
      <c r="J786" s="75"/>
      <c r="K786" s="68"/>
      <c r="L786" s="68"/>
      <c r="M786" s="69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</row>
    <row r="787" spans="1:29" ht="36" customHeight="1">
      <c r="A787" s="50" t="s">
        <v>197</v>
      </c>
      <c r="B787" s="51">
        <v>811</v>
      </c>
      <c r="C787" s="52" t="s">
        <v>807</v>
      </c>
      <c r="D787" s="52" t="s">
        <v>508</v>
      </c>
      <c r="E787" s="52" t="s">
        <v>198</v>
      </c>
      <c r="F787" s="52"/>
      <c r="G787" s="40">
        <f t="shared" si="81"/>
        <v>6778.4</v>
      </c>
      <c r="H787" s="40">
        <f t="shared" si="81"/>
        <v>3254.9</v>
      </c>
      <c r="I787" s="40">
        <f t="shared" si="81"/>
        <v>2698</v>
      </c>
      <c r="J787" s="75"/>
      <c r="K787" s="68"/>
      <c r="L787" s="68"/>
      <c r="M787" s="69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</row>
    <row r="788" spans="1:29" ht="18.75" customHeight="1">
      <c r="A788" s="82" t="s">
        <v>361</v>
      </c>
      <c r="B788" s="51">
        <v>811</v>
      </c>
      <c r="C788" s="52" t="s">
        <v>807</v>
      </c>
      <c r="D788" s="52" t="s">
        <v>508</v>
      </c>
      <c r="E788" s="52" t="s">
        <v>198</v>
      </c>
      <c r="F788" s="52" t="s">
        <v>214</v>
      </c>
      <c r="G788" s="40">
        <v>6778.4</v>
      </c>
      <c r="H788" s="40">
        <v>3254.9</v>
      </c>
      <c r="I788" s="40">
        <v>2698</v>
      </c>
      <c r="J788" s="75"/>
      <c r="K788" s="68"/>
      <c r="L788" s="68"/>
      <c r="M788" s="69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</row>
    <row r="789" spans="1:29" ht="19.5" customHeight="1">
      <c r="A789" s="86" t="s">
        <v>20</v>
      </c>
      <c r="B789" s="51">
        <v>811</v>
      </c>
      <c r="C789" s="52" t="s">
        <v>807</v>
      </c>
      <c r="D789" s="52" t="s">
        <v>508</v>
      </c>
      <c r="E789" s="52" t="s">
        <v>357</v>
      </c>
      <c r="F789" s="52"/>
      <c r="G789" s="40">
        <f aca="true" t="shared" si="82" ref="G789:I790">G790</f>
        <v>2775</v>
      </c>
      <c r="H789" s="40">
        <f t="shared" si="82"/>
        <v>435</v>
      </c>
      <c r="I789" s="40">
        <f t="shared" si="82"/>
        <v>400</v>
      </c>
      <c r="J789" s="75"/>
      <c r="K789" s="68"/>
      <c r="L789" s="68"/>
      <c r="M789" s="69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</row>
    <row r="790" spans="1:29" s="89" customFormat="1" ht="21.75" customHeight="1">
      <c r="A790" s="81" t="s">
        <v>21</v>
      </c>
      <c r="B790" s="51">
        <v>811</v>
      </c>
      <c r="C790" s="52" t="s">
        <v>807</v>
      </c>
      <c r="D790" s="52" t="s">
        <v>508</v>
      </c>
      <c r="E790" s="52" t="s">
        <v>413</v>
      </c>
      <c r="F790" s="52"/>
      <c r="G790" s="40">
        <f t="shared" si="82"/>
        <v>2775</v>
      </c>
      <c r="H790" s="40">
        <f t="shared" si="82"/>
        <v>435</v>
      </c>
      <c r="I790" s="40">
        <f t="shared" si="82"/>
        <v>400</v>
      </c>
      <c r="J790" s="75"/>
      <c r="K790" s="68"/>
      <c r="L790" s="68"/>
      <c r="M790" s="69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</row>
    <row r="791" spans="1:29" s="90" customFormat="1" ht="18.75" customHeight="1">
      <c r="A791" s="82" t="s">
        <v>361</v>
      </c>
      <c r="B791" s="51">
        <v>811</v>
      </c>
      <c r="C791" s="52" t="s">
        <v>807</v>
      </c>
      <c r="D791" s="52" t="s">
        <v>508</v>
      </c>
      <c r="E791" s="52" t="s">
        <v>413</v>
      </c>
      <c r="F791" s="52" t="s">
        <v>214</v>
      </c>
      <c r="G791" s="40">
        <f>400+35+2340</f>
        <v>2775</v>
      </c>
      <c r="H791" s="40">
        <f>400+35</f>
        <v>435</v>
      </c>
      <c r="I791" s="40">
        <f>400</f>
        <v>400</v>
      </c>
      <c r="J791" s="75"/>
      <c r="K791" s="68"/>
      <c r="L791" s="68"/>
      <c r="M791" s="69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</row>
    <row r="792" spans="1:29" ht="18.75" customHeight="1">
      <c r="A792" s="82" t="s">
        <v>432</v>
      </c>
      <c r="B792" s="51">
        <v>811</v>
      </c>
      <c r="C792" s="52" t="s">
        <v>810</v>
      </c>
      <c r="D792" s="52"/>
      <c r="E792" s="52"/>
      <c r="F792" s="52"/>
      <c r="G792" s="40">
        <f>SUM(G802,G793)</f>
        <v>25057.4</v>
      </c>
      <c r="H792" s="40">
        <f>SUM(H802,H793)</f>
        <v>25102.4</v>
      </c>
      <c r="I792" s="40">
        <f>SUM(I802,I793)</f>
        <v>25144.800000000003</v>
      </c>
      <c r="J792" s="75"/>
      <c r="K792" s="68"/>
      <c r="L792" s="68"/>
      <c r="M792" s="69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</row>
    <row r="793" spans="1:29" ht="18.75" customHeight="1" hidden="1">
      <c r="A793" s="82" t="s">
        <v>773</v>
      </c>
      <c r="B793" s="51">
        <v>811</v>
      </c>
      <c r="C793" s="52" t="s">
        <v>810</v>
      </c>
      <c r="D793" s="52" t="s">
        <v>807</v>
      </c>
      <c r="E793" s="52"/>
      <c r="F793" s="52"/>
      <c r="G793" s="40">
        <f>G794+G799</f>
        <v>0</v>
      </c>
      <c r="H793" s="40">
        <f>H794+H799</f>
        <v>0</v>
      </c>
      <c r="I793" s="40">
        <f>I794+I799</f>
        <v>0</v>
      </c>
      <c r="J793" s="75"/>
      <c r="K793" s="68"/>
      <c r="L793" s="68"/>
      <c r="M793" s="69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</row>
    <row r="794" spans="1:29" ht="18.75" customHeight="1" hidden="1">
      <c r="A794" s="82" t="s">
        <v>775</v>
      </c>
      <c r="B794" s="51">
        <v>811</v>
      </c>
      <c r="C794" s="52" t="s">
        <v>810</v>
      </c>
      <c r="D794" s="52" t="s">
        <v>807</v>
      </c>
      <c r="E794" s="52" t="s">
        <v>774</v>
      </c>
      <c r="F794" s="52"/>
      <c r="G794" s="40">
        <f>G795+G797</f>
        <v>0</v>
      </c>
      <c r="H794" s="40">
        <f>H795+H797</f>
        <v>0</v>
      </c>
      <c r="I794" s="40">
        <f>I795+I797</f>
        <v>0</v>
      </c>
      <c r="J794" s="75"/>
      <c r="K794" s="68"/>
      <c r="L794" s="68"/>
      <c r="M794" s="69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</row>
    <row r="795" spans="1:29" ht="18.75" customHeight="1" hidden="1">
      <c r="A795" s="82" t="s">
        <v>777</v>
      </c>
      <c r="B795" s="51">
        <v>811</v>
      </c>
      <c r="C795" s="52" t="s">
        <v>810</v>
      </c>
      <c r="D795" s="52" t="s">
        <v>807</v>
      </c>
      <c r="E795" s="52" t="s">
        <v>776</v>
      </c>
      <c r="F795" s="52"/>
      <c r="G795" s="40">
        <f>G796</f>
        <v>0</v>
      </c>
      <c r="H795" s="40">
        <f>H796</f>
        <v>0</v>
      </c>
      <c r="I795" s="40">
        <f>I796</f>
        <v>0</v>
      </c>
      <c r="J795" s="75"/>
      <c r="K795" s="68"/>
      <c r="L795" s="68"/>
      <c r="M795" s="69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</row>
    <row r="796" spans="1:29" ht="18.75" customHeight="1" hidden="1">
      <c r="A796" s="81" t="s">
        <v>13</v>
      </c>
      <c r="B796" s="51">
        <v>811</v>
      </c>
      <c r="C796" s="52" t="s">
        <v>810</v>
      </c>
      <c r="D796" s="52" t="s">
        <v>807</v>
      </c>
      <c r="E796" s="52" t="s">
        <v>776</v>
      </c>
      <c r="F796" s="52" t="s">
        <v>572</v>
      </c>
      <c r="G796" s="40"/>
      <c r="H796" s="40"/>
      <c r="I796" s="40"/>
      <c r="J796" s="75"/>
      <c r="K796" s="68"/>
      <c r="L796" s="68"/>
      <c r="M796" s="69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</row>
    <row r="797" spans="1:29" ht="35.25" customHeight="1" hidden="1">
      <c r="A797" s="81" t="s">
        <v>597</v>
      </c>
      <c r="B797" s="51">
        <v>811</v>
      </c>
      <c r="C797" s="52" t="s">
        <v>810</v>
      </c>
      <c r="D797" s="52" t="s">
        <v>807</v>
      </c>
      <c r="E797" s="52" t="s">
        <v>596</v>
      </c>
      <c r="F797" s="52"/>
      <c r="G797" s="40">
        <f>SUM(G798)</f>
        <v>0</v>
      </c>
      <c r="H797" s="40">
        <f>SUM(H798)</f>
        <v>0</v>
      </c>
      <c r="I797" s="40">
        <f>SUM(I798)</f>
        <v>0</v>
      </c>
      <c r="J797" s="75"/>
      <c r="K797" s="68"/>
      <c r="L797" s="68"/>
      <c r="M797" s="69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</row>
    <row r="798" spans="1:29" ht="20.25" customHeight="1" hidden="1">
      <c r="A798" s="81" t="s">
        <v>13</v>
      </c>
      <c r="B798" s="51">
        <v>811</v>
      </c>
      <c r="C798" s="52" t="s">
        <v>810</v>
      </c>
      <c r="D798" s="52" t="s">
        <v>807</v>
      </c>
      <c r="E798" s="52" t="s">
        <v>596</v>
      </c>
      <c r="F798" s="52" t="s">
        <v>572</v>
      </c>
      <c r="G798" s="40"/>
      <c r="H798" s="40"/>
      <c r="I798" s="40"/>
      <c r="J798" s="75"/>
      <c r="K798" s="68"/>
      <c r="L798" s="68"/>
      <c r="M798" s="69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</row>
    <row r="799" spans="1:29" ht="20.25" customHeight="1" hidden="1">
      <c r="A799" s="81" t="s">
        <v>297</v>
      </c>
      <c r="B799" s="51">
        <v>811</v>
      </c>
      <c r="C799" s="52" t="s">
        <v>810</v>
      </c>
      <c r="D799" s="52" t="s">
        <v>807</v>
      </c>
      <c r="E799" s="52" t="s">
        <v>395</v>
      </c>
      <c r="F799" s="52"/>
      <c r="G799" s="40">
        <f aca="true" t="shared" si="83" ref="G799:I800">SUM(G800)</f>
        <v>0</v>
      </c>
      <c r="H799" s="40">
        <f t="shared" si="83"/>
        <v>0</v>
      </c>
      <c r="I799" s="40">
        <f t="shared" si="83"/>
        <v>0</v>
      </c>
      <c r="J799" s="75"/>
      <c r="K799" s="68"/>
      <c r="L799" s="68"/>
      <c r="M799" s="69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</row>
    <row r="800" spans="1:29" ht="39" customHeight="1" hidden="1">
      <c r="A800" s="81" t="s">
        <v>598</v>
      </c>
      <c r="B800" s="51">
        <v>811</v>
      </c>
      <c r="C800" s="52" t="s">
        <v>810</v>
      </c>
      <c r="D800" s="52" t="s">
        <v>807</v>
      </c>
      <c r="E800" s="52" t="s">
        <v>601</v>
      </c>
      <c r="F800" s="52"/>
      <c r="G800" s="40">
        <f t="shared" si="83"/>
        <v>0</v>
      </c>
      <c r="H800" s="40">
        <f t="shared" si="83"/>
        <v>0</v>
      </c>
      <c r="I800" s="40">
        <f t="shared" si="83"/>
        <v>0</v>
      </c>
      <c r="J800" s="75"/>
      <c r="K800" s="68"/>
      <c r="L800" s="68"/>
      <c r="M800" s="69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</row>
    <row r="801" spans="1:29" ht="20.25" customHeight="1" hidden="1">
      <c r="A801" s="81" t="s">
        <v>13</v>
      </c>
      <c r="B801" s="51">
        <v>811</v>
      </c>
      <c r="C801" s="52" t="s">
        <v>810</v>
      </c>
      <c r="D801" s="52" t="s">
        <v>807</v>
      </c>
      <c r="E801" s="52" t="s">
        <v>601</v>
      </c>
      <c r="F801" s="52" t="s">
        <v>572</v>
      </c>
      <c r="G801" s="40"/>
      <c r="H801" s="40"/>
      <c r="I801" s="40"/>
      <c r="J801" s="75"/>
      <c r="K801" s="68"/>
      <c r="L801" s="68"/>
      <c r="M801" s="69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</row>
    <row r="802" spans="1:29" ht="20.25" customHeight="1">
      <c r="A802" s="85" t="s">
        <v>61</v>
      </c>
      <c r="B802" s="51">
        <v>811</v>
      </c>
      <c r="C802" s="52" t="s">
        <v>810</v>
      </c>
      <c r="D802" s="52" t="s">
        <v>530</v>
      </c>
      <c r="E802" s="52"/>
      <c r="F802" s="52"/>
      <c r="G802" s="40">
        <f>SUM(G803,G806)</f>
        <v>25057.4</v>
      </c>
      <c r="H802" s="40">
        <f>SUM(H803,H806)</f>
        <v>25102.4</v>
      </c>
      <c r="I802" s="40">
        <f>SUM(I803,I806)</f>
        <v>25144.800000000003</v>
      </c>
      <c r="J802" s="75"/>
      <c r="K802" s="68"/>
      <c r="L802" s="68"/>
      <c r="M802" s="69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</row>
    <row r="803" spans="1:29" ht="36" customHeight="1">
      <c r="A803" s="81" t="s">
        <v>42</v>
      </c>
      <c r="B803" s="51">
        <v>811</v>
      </c>
      <c r="C803" s="52" t="s">
        <v>810</v>
      </c>
      <c r="D803" s="52" t="s">
        <v>530</v>
      </c>
      <c r="E803" s="52" t="s">
        <v>43</v>
      </c>
      <c r="F803" s="52"/>
      <c r="G803" s="40">
        <f aca="true" t="shared" si="84" ref="G803:I804">SUM(G804)</f>
        <v>24736.7</v>
      </c>
      <c r="H803" s="40">
        <f t="shared" si="84"/>
        <v>24765.600000000002</v>
      </c>
      <c r="I803" s="40">
        <f t="shared" si="84"/>
        <v>24792.9</v>
      </c>
      <c r="J803" s="75"/>
      <c r="K803" s="68"/>
      <c r="L803" s="68"/>
      <c r="M803" s="69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</row>
    <row r="804" spans="1:29" ht="17.25" customHeight="1">
      <c r="A804" s="81" t="s">
        <v>47</v>
      </c>
      <c r="B804" s="51">
        <v>811</v>
      </c>
      <c r="C804" s="52" t="s">
        <v>810</v>
      </c>
      <c r="D804" s="52" t="s">
        <v>530</v>
      </c>
      <c r="E804" s="52" t="s">
        <v>45</v>
      </c>
      <c r="F804" s="52"/>
      <c r="G804" s="40">
        <f t="shared" si="84"/>
        <v>24736.7</v>
      </c>
      <c r="H804" s="40">
        <f t="shared" si="84"/>
        <v>24765.600000000002</v>
      </c>
      <c r="I804" s="40">
        <f t="shared" si="84"/>
        <v>24792.9</v>
      </c>
      <c r="J804" s="75"/>
      <c r="K804" s="68"/>
      <c r="L804" s="68"/>
      <c r="M804" s="69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</row>
    <row r="805" spans="1:29" ht="19.5" customHeight="1">
      <c r="A805" s="82" t="s">
        <v>361</v>
      </c>
      <c r="B805" s="51">
        <v>811</v>
      </c>
      <c r="C805" s="52" t="s">
        <v>810</v>
      </c>
      <c r="D805" s="52" t="s">
        <v>530</v>
      </c>
      <c r="E805" s="52" t="s">
        <v>45</v>
      </c>
      <c r="F805" s="52" t="s">
        <v>214</v>
      </c>
      <c r="G805" s="40">
        <f>23059.8+1676.9</f>
        <v>24736.7</v>
      </c>
      <c r="H805" s="40">
        <f>23088.7+1676.9</f>
        <v>24765.600000000002</v>
      </c>
      <c r="I805" s="40">
        <f>23116+1676.9</f>
        <v>24792.9</v>
      </c>
      <c r="J805" s="75"/>
      <c r="K805" s="68"/>
      <c r="L805" s="68"/>
      <c r="M805" s="69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</row>
    <row r="806" spans="1:29" ht="20.25" customHeight="1">
      <c r="A806" s="85" t="s">
        <v>249</v>
      </c>
      <c r="B806" s="51">
        <v>811</v>
      </c>
      <c r="C806" s="52" t="s">
        <v>810</v>
      </c>
      <c r="D806" s="52" t="s">
        <v>530</v>
      </c>
      <c r="E806" s="52" t="s">
        <v>434</v>
      </c>
      <c r="F806" s="52"/>
      <c r="G806" s="40">
        <f>SUM(G807,G809)</f>
        <v>320.7</v>
      </c>
      <c r="H806" s="40">
        <f>SUM(H807,H809)</f>
        <v>336.8</v>
      </c>
      <c r="I806" s="40">
        <f>SUM(I807,I809)</f>
        <v>351.9</v>
      </c>
      <c r="J806" s="75"/>
      <c r="K806" s="68"/>
      <c r="L806" s="68"/>
      <c r="M806" s="69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</row>
    <row r="807" spans="1:29" ht="20.25" customHeight="1">
      <c r="A807" s="93" t="s">
        <v>454</v>
      </c>
      <c r="B807" s="51">
        <v>811</v>
      </c>
      <c r="C807" s="52" t="s">
        <v>810</v>
      </c>
      <c r="D807" s="52" t="s">
        <v>530</v>
      </c>
      <c r="E807" s="52" t="s">
        <v>455</v>
      </c>
      <c r="F807" s="52"/>
      <c r="G807" s="40">
        <f>SUM(G808)</f>
        <v>320.7</v>
      </c>
      <c r="H807" s="40">
        <f>SUM(H808)</f>
        <v>336.8</v>
      </c>
      <c r="I807" s="40">
        <f>SUM(I808)</f>
        <v>351.9</v>
      </c>
      <c r="J807" s="75"/>
      <c r="K807" s="68"/>
      <c r="L807" s="68"/>
      <c r="M807" s="69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</row>
    <row r="808" spans="1:29" ht="19.5" customHeight="1">
      <c r="A808" s="82" t="s">
        <v>361</v>
      </c>
      <c r="B808" s="51">
        <v>811</v>
      </c>
      <c r="C808" s="52" t="s">
        <v>810</v>
      </c>
      <c r="D808" s="52" t="s">
        <v>530</v>
      </c>
      <c r="E808" s="52" t="s">
        <v>455</v>
      </c>
      <c r="F808" s="52" t="s">
        <v>214</v>
      </c>
      <c r="G808" s="40">
        <v>320.7</v>
      </c>
      <c r="H808" s="40">
        <v>336.8</v>
      </c>
      <c r="I808" s="40">
        <v>351.9</v>
      </c>
      <c r="J808" s="75"/>
      <c r="K808" s="68"/>
      <c r="L808" s="68"/>
      <c r="M808" s="69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</row>
    <row r="809" spans="1:29" ht="34.5" customHeight="1" hidden="1">
      <c r="A809" s="82" t="s">
        <v>295</v>
      </c>
      <c r="B809" s="51">
        <v>811</v>
      </c>
      <c r="C809" s="52" t="s">
        <v>810</v>
      </c>
      <c r="D809" s="52" t="s">
        <v>530</v>
      </c>
      <c r="E809" s="52" t="s">
        <v>280</v>
      </c>
      <c r="F809" s="52"/>
      <c r="G809" s="40">
        <f>SUM(G810)</f>
        <v>0</v>
      </c>
      <c r="H809" s="40">
        <f>SUM(H810)</f>
        <v>0</v>
      </c>
      <c r="I809" s="40">
        <f>SUM(I810)</f>
        <v>0</v>
      </c>
      <c r="J809" s="75"/>
      <c r="K809" s="68"/>
      <c r="L809" s="68"/>
      <c r="M809" s="69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</row>
    <row r="810" spans="1:29" ht="18.75" customHeight="1" hidden="1">
      <c r="A810" s="50" t="s">
        <v>206</v>
      </c>
      <c r="B810" s="51">
        <v>811</v>
      </c>
      <c r="C810" s="52" t="s">
        <v>810</v>
      </c>
      <c r="D810" s="52" t="s">
        <v>530</v>
      </c>
      <c r="E810" s="52" t="s">
        <v>280</v>
      </c>
      <c r="F810" s="52" t="s">
        <v>4</v>
      </c>
      <c r="G810" s="40"/>
      <c r="H810" s="40"/>
      <c r="I810" s="40"/>
      <c r="J810" s="75"/>
      <c r="K810" s="68"/>
      <c r="L810" s="68"/>
      <c r="M810" s="69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</row>
    <row r="811" spans="1:29" ht="18" customHeight="1">
      <c r="A811" s="63" t="s">
        <v>110</v>
      </c>
      <c r="B811" s="51">
        <v>840</v>
      </c>
      <c r="C811" s="52"/>
      <c r="D811" s="52"/>
      <c r="E811" s="52"/>
      <c r="F811" s="52"/>
      <c r="G811" s="40">
        <f>SUM(G820)</f>
        <v>15767.199999999999</v>
      </c>
      <c r="H811" s="40">
        <f>SUM(H820)</f>
        <v>16189.699999999999</v>
      </c>
      <c r="I811" s="40">
        <f>SUM(I820)</f>
        <v>17023.600000000002</v>
      </c>
      <c r="J811" s="75"/>
      <c r="K811" s="68"/>
      <c r="L811" s="68"/>
      <c r="M811" s="69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</row>
    <row r="812" spans="1:29" ht="18" customHeight="1" hidden="1">
      <c r="A812" s="82" t="s">
        <v>432</v>
      </c>
      <c r="B812" s="51">
        <v>840</v>
      </c>
      <c r="C812" s="52" t="s">
        <v>810</v>
      </c>
      <c r="D812" s="52"/>
      <c r="E812" s="52"/>
      <c r="F812" s="52"/>
      <c r="G812" s="40">
        <f>G813</f>
        <v>0</v>
      </c>
      <c r="H812" s="40">
        <f>H813</f>
        <v>0</v>
      </c>
      <c r="I812" s="40">
        <f>I813</f>
        <v>0</v>
      </c>
      <c r="J812" s="75"/>
      <c r="K812" s="68"/>
      <c r="L812" s="68"/>
      <c r="M812" s="69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</row>
    <row r="813" spans="1:29" ht="18" customHeight="1" hidden="1">
      <c r="A813" s="82" t="s">
        <v>773</v>
      </c>
      <c r="B813" s="51">
        <v>840</v>
      </c>
      <c r="C813" s="52" t="s">
        <v>810</v>
      </c>
      <c r="D813" s="52" t="s">
        <v>807</v>
      </c>
      <c r="E813" s="91"/>
      <c r="F813" s="91"/>
      <c r="G813" s="40">
        <f>G814+G817</f>
        <v>0</v>
      </c>
      <c r="H813" s="40">
        <f>H814+H817</f>
        <v>0</v>
      </c>
      <c r="I813" s="40">
        <f>I814+I817</f>
        <v>0</v>
      </c>
      <c r="J813" s="75"/>
      <c r="K813" s="68"/>
      <c r="L813" s="68"/>
      <c r="M813" s="69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</row>
    <row r="814" spans="1:29" ht="18" customHeight="1" hidden="1">
      <c r="A814" s="82" t="s">
        <v>775</v>
      </c>
      <c r="B814" s="51">
        <v>840</v>
      </c>
      <c r="C814" s="52" t="s">
        <v>810</v>
      </c>
      <c r="D814" s="52" t="s">
        <v>807</v>
      </c>
      <c r="E814" s="52" t="s">
        <v>774</v>
      </c>
      <c r="F814" s="91"/>
      <c r="G814" s="40">
        <f aca="true" t="shared" si="85" ref="G814:I815">G815</f>
        <v>0</v>
      </c>
      <c r="H814" s="40">
        <f t="shared" si="85"/>
        <v>0</v>
      </c>
      <c r="I814" s="40">
        <f t="shared" si="85"/>
        <v>0</v>
      </c>
      <c r="J814" s="75"/>
      <c r="K814" s="68"/>
      <c r="L814" s="68"/>
      <c r="M814" s="69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</row>
    <row r="815" spans="1:29" ht="36.75" customHeight="1" hidden="1">
      <c r="A815" s="81" t="s">
        <v>597</v>
      </c>
      <c r="B815" s="51">
        <v>840</v>
      </c>
      <c r="C815" s="52" t="s">
        <v>810</v>
      </c>
      <c r="D815" s="52" t="s">
        <v>807</v>
      </c>
      <c r="E815" s="52" t="s">
        <v>596</v>
      </c>
      <c r="F815" s="52"/>
      <c r="G815" s="40">
        <f t="shared" si="85"/>
        <v>0</v>
      </c>
      <c r="H815" s="40">
        <f t="shared" si="85"/>
        <v>0</v>
      </c>
      <c r="I815" s="40">
        <f t="shared" si="85"/>
        <v>0</v>
      </c>
      <c r="J815" s="75"/>
      <c r="K815" s="68"/>
      <c r="L815" s="68"/>
      <c r="M815" s="69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</row>
    <row r="816" spans="1:29" ht="18" customHeight="1" hidden="1">
      <c r="A816" s="81" t="s">
        <v>13</v>
      </c>
      <c r="B816" s="51">
        <v>840</v>
      </c>
      <c r="C816" s="52" t="s">
        <v>810</v>
      </c>
      <c r="D816" s="52" t="s">
        <v>807</v>
      </c>
      <c r="E816" s="52" t="s">
        <v>596</v>
      </c>
      <c r="F816" s="52" t="s">
        <v>572</v>
      </c>
      <c r="G816" s="40"/>
      <c r="H816" s="40"/>
      <c r="I816" s="40"/>
      <c r="J816" s="75"/>
      <c r="K816" s="68"/>
      <c r="L816" s="68"/>
      <c r="M816" s="69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</row>
    <row r="817" spans="1:29" ht="18" customHeight="1" hidden="1">
      <c r="A817" s="81" t="s">
        <v>297</v>
      </c>
      <c r="B817" s="51">
        <v>840</v>
      </c>
      <c r="C817" s="52" t="s">
        <v>810</v>
      </c>
      <c r="D817" s="52" t="s">
        <v>807</v>
      </c>
      <c r="E817" s="52" t="s">
        <v>395</v>
      </c>
      <c r="F817" s="52"/>
      <c r="G817" s="40">
        <f>G818</f>
        <v>0</v>
      </c>
      <c r="H817" s="40">
        <f>H818</f>
        <v>0</v>
      </c>
      <c r="I817" s="40">
        <f>I818</f>
        <v>0</v>
      </c>
      <c r="J817" s="75"/>
      <c r="K817" s="68"/>
      <c r="L817" s="68"/>
      <c r="M817" s="69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</row>
    <row r="818" spans="1:29" ht="34.5" customHeight="1" hidden="1">
      <c r="A818" s="81" t="s">
        <v>598</v>
      </c>
      <c r="B818" s="51">
        <v>840</v>
      </c>
      <c r="C818" s="52" t="s">
        <v>810</v>
      </c>
      <c r="D818" s="52" t="s">
        <v>807</v>
      </c>
      <c r="E818" s="52" t="s">
        <v>601</v>
      </c>
      <c r="F818" s="52"/>
      <c r="G818" s="40">
        <f>SUM(G819)</f>
        <v>0</v>
      </c>
      <c r="H818" s="40">
        <f>SUM(H819)</f>
        <v>0</v>
      </c>
      <c r="I818" s="40">
        <f>SUM(I819)</f>
        <v>0</v>
      </c>
      <c r="J818" s="75"/>
      <c r="K818" s="68"/>
      <c r="L818" s="68"/>
      <c r="M818" s="69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</row>
    <row r="819" spans="1:29" ht="18" customHeight="1" hidden="1">
      <c r="A819" s="81" t="s">
        <v>13</v>
      </c>
      <c r="B819" s="51">
        <v>840</v>
      </c>
      <c r="C819" s="52" t="s">
        <v>810</v>
      </c>
      <c r="D819" s="52" t="s">
        <v>807</v>
      </c>
      <c r="E819" s="52" t="s">
        <v>601</v>
      </c>
      <c r="F819" s="52" t="s">
        <v>572</v>
      </c>
      <c r="G819" s="40"/>
      <c r="H819" s="40"/>
      <c r="I819" s="40"/>
      <c r="J819" s="75"/>
      <c r="K819" s="68"/>
      <c r="L819" s="68"/>
      <c r="M819" s="69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</row>
    <row r="820" spans="1:29" ht="18.75" customHeight="1">
      <c r="A820" s="63" t="s">
        <v>201</v>
      </c>
      <c r="B820" s="51">
        <v>840</v>
      </c>
      <c r="C820" s="52" t="s">
        <v>811</v>
      </c>
      <c r="D820" s="52"/>
      <c r="E820" s="52"/>
      <c r="F820" s="52"/>
      <c r="G820" s="40">
        <f>SUM(G825,G821)</f>
        <v>15767.199999999999</v>
      </c>
      <c r="H820" s="40">
        <f>SUM(H825,H821)</f>
        <v>16189.699999999999</v>
      </c>
      <c r="I820" s="40">
        <f>SUM(I825,I821)</f>
        <v>17023.600000000002</v>
      </c>
      <c r="J820" s="75"/>
      <c r="K820" s="68"/>
      <c r="L820" s="68"/>
      <c r="M820" s="69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</row>
    <row r="821" spans="1:29" ht="18.75" customHeight="1">
      <c r="A821" s="63" t="s">
        <v>190</v>
      </c>
      <c r="B821" s="51">
        <v>840</v>
      </c>
      <c r="C821" s="52" t="s">
        <v>811</v>
      </c>
      <c r="D821" s="52" t="s">
        <v>809</v>
      </c>
      <c r="E821" s="52"/>
      <c r="F821" s="52"/>
      <c r="G821" s="40">
        <f aca="true" t="shared" si="86" ref="G821:I823">G822</f>
        <v>2018.4</v>
      </c>
      <c r="H821" s="40">
        <f t="shared" si="86"/>
        <v>2018.4</v>
      </c>
      <c r="I821" s="40">
        <f t="shared" si="86"/>
        <v>2018.4</v>
      </c>
      <c r="J821" s="75"/>
      <c r="K821" s="68"/>
      <c r="L821" s="68"/>
      <c r="M821" s="69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</row>
    <row r="822" spans="1:29" ht="18.75" customHeight="1">
      <c r="A822" s="63" t="s">
        <v>29</v>
      </c>
      <c r="B822" s="51">
        <v>840</v>
      </c>
      <c r="C822" s="52" t="s">
        <v>811</v>
      </c>
      <c r="D822" s="52" t="s">
        <v>809</v>
      </c>
      <c r="E822" s="52" t="s">
        <v>30</v>
      </c>
      <c r="F822" s="52"/>
      <c r="G822" s="40">
        <f t="shared" si="86"/>
        <v>2018.4</v>
      </c>
      <c r="H822" s="40">
        <f t="shared" si="86"/>
        <v>2018.4</v>
      </c>
      <c r="I822" s="40">
        <f t="shared" si="86"/>
        <v>2018.4</v>
      </c>
      <c r="J822" s="75"/>
      <c r="K822" s="68"/>
      <c r="L822" s="68"/>
      <c r="M822" s="69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</row>
    <row r="823" spans="1:29" ht="33" customHeight="1">
      <c r="A823" s="63" t="s">
        <v>617</v>
      </c>
      <c r="B823" s="51">
        <v>840</v>
      </c>
      <c r="C823" s="52" t="s">
        <v>811</v>
      </c>
      <c r="D823" s="52" t="s">
        <v>809</v>
      </c>
      <c r="E823" s="52" t="s">
        <v>189</v>
      </c>
      <c r="F823" s="52"/>
      <c r="G823" s="40">
        <f t="shared" si="86"/>
        <v>2018.4</v>
      </c>
      <c r="H823" s="40">
        <f t="shared" si="86"/>
        <v>2018.4</v>
      </c>
      <c r="I823" s="40">
        <f t="shared" si="86"/>
        <v>2018.4</v>
      </c>
      <c r="J823" s="75"/>
      <c r="K823" s="68"/>
      <c r="L823" s="68"/>
      <c r="M823" s="69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</row>
    <row r="824" spans="1:29" ht="18.75" customHeight="1">
      <c r="A824" s="105" t="s">
        <v>152</v>
      </c>
      <c r="B824" s="51">
        <v>840</v>
      </c>
      <c r="C824" s="52" t="s">
        <v>811</v>
      </c>
      <c r="D824" s="52" t="s">
        <v>809</v>
      </c>
      <c r="E824" s="52" t="s">
        <v>189</v>
      </c>
      <c r="F824" s="52" t="s">
        <v>212</v>
      </c>
      <c r="G824" s="40">
        <v>2018.4</v>
      </c>
      <c r="H824" s="40">
        <v>2018.4</v>
      </c>
      <c r="I824" s="40">
        <v>2018.4</v>
      </c>
      <c r="J824" s="75"/>
      <c r="K824" s="68"/>
      <c r="L824" s="68"/>
      <c r="M824" s="69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</row>
    <row r="825" spans="1:29" ht="19.5" customHeight="1">
      <c r="A825" s="85" t="s">
        <v>132</v>
      </c>
      <c r="B825" s="51">
        <v>840</v>
      </c>
      <c r="C825" s="52" t="s">
        <v>811</v>
      </c>
      <c r="D825" s="52" t="s">
        <v>59</v>
      </c>
      <c r="E825" s="52"/>
      <c r="F825" s="52"/>
      <c r="G825" s="40">
        <f>SUM(G826,G829)</f>
        <v>13748.8</v>
      </c>
      <c r="H825" s="40">
        <f>SUM(H826,H829)</f>
        <v>14171.3</v>
      </c>
      <c r="I825" s="40">
        <f>SUM(I826,I829)</f>
        <v>15005.2</v>
      </c>
      <c r="J825" s="75"/>
      <c r="K825" s="68"/>
      <c r="L825" s="68"/>
      <c r="M825" s="69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</row>
    <row r="826" spans="1:29" ht="40.5" customHeight="1">
      <c r="A826" s="81" t="s">
        <v>42</v>
      </c>
      <c r="B826" s="51">
        <v>840</v>
      </c>
      <c r="C826" s="52" t="s">
        <v>811</v>
      </c>
      <c r="D826" s="52" t="s">
        <v>59</v>
      </c>
      <c r="E826" s="52" t="s">
        <v>43</v>
      </c>
      <c r="F826" s="52"/>
      <c r="G826" s="40">
        <f aca="true" t="shared" si="87" ref="G826:I827">SUM(G827)</f>
        <v>8443.8</v>
      </c>
      <c r="H826" s="40">
        <f t="shared" si="87"/>
        <v>8431.3</v>
      </c>
      <c r="I826" s="40">
        <f t="shared" si="87"/>
        <v>8435.2</v>
      </c>
      <c r="J826" s="75"/>
      <c r="K826" s="68"/>
      <c r="L826" s="68"/>
      <c r="M826" s="69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</row>
    <row r="827" spans="1:29" ht="18.75" customHeight="1">
      <c r="A827" s="81" t="s">
        <v>47</v>
      </c>
      <c r="B827" s="51">
        <v>840</v>
      </c>
      <c r="C827" s="52" t="s">
        <v>811</v>
      </c>
      <c r="D827" s="52" t="s">
        <v>59</v>
      </c>
      <c r="E827" s="52" t="s">
        <v>45</v>
      </c>
      <c r="F827" s="52"/>
      <c r="G827" s="40">
        <f t="shared" si="87"/>
        <v>8443.8</v>
      </c>
      <c r="H827" s="40">
        <f t="shared" si="87"/>
        <v>8431.3</v>
      </c>
      <c r="I827" s="40">
        <f t="shared" si="87"/>
        <v>8435.2</v>
      </c>
      <c r="J827" s="75"/>
      <c r="K827" s="68"/>
      <c r="L827" s="68"/>
      <c r="M827" s="69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</row>
    <row r="828" spans="1:29" ht="19.5" customHeight="1">
      <c r="A828" s="82" t="s">
        <v>361</v>
      </c>
      <c r="B828" s="51">
        <v>840</v>
      </c>
      <c r="C828" s="52" t="s">
        <v>811</v>
      </c>
      <c r="D828" s="52" t="s">
        <v>59</v>
      </c>
      <c r="E828" s="52" t="s">
        <v>45</v>
      </c>
      <c r="F828" s="52" t="s">
        <v>214</v>
      </c>
      <c r="G828" s="40">
        <f>8243.3+200.5</f>
        <v>8443.8</v>
      </c>
      <c r="H828" s="40">
        <f>8230.8+200.5</f>
        <v>8431.3</v>
      </c>
      <c r="I828" s="40">
        <f>8234.7+200.5</f>
        <v>8435.2</v>
      </c>
      <c r="J828" s="75"/>
      <c r="K828" s="68"/>
      <c r="L828" s="68"/>
      <c r="M828" s="69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</row>
    <row r="829" spans="1:29" ht="19.5" customHeight="1">
      <c r="A829" s="86" t="s">
        <v>364</v>
      </c>
      <c r="B829" s="51">
        <v>840</v>
      </c>
      <c r="C829" s="52" t="s">
        <v>811</v>
      </c>
      <c r="D829" s="52" t="s">
        <v>59</v>
      </c>
      <c r="E829" s="52" t="s">
        <v>358</v>
      </c>
      <c r="F829" s="52"/>
      <c r="G829" s="40">
        <f>SUM(G831)</f>
        <v>5305</v>
      </c>
      <c r="H829" s="40">
        <f>SUM(H831)</f>
        <v>5740</v>
      </c>
      <c r="I829" s="40">
        <f>SUM(I831)</f>
        <v>6570</v>
      </c>
      <c r="J829" s="75"/>
      <c r="K829" s="68"/>
      <c r="L829" s="68"/>
      <c r="M829" s="69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</row>
    <row r="830" spans="1:29" ht="19.5" customHeight="1">
      <c r="A830" s="86" t="s">
        <v>394</v>
      </c>
      <c r="B830" s="51">
        <v>840</v>
      </c>
      <c r="C830" s="52" t="s">
        <v>811</v>
      </c>
      <c r="D830" s="52" t="s">
        <v>59</v>
      </c>
      <c r="E830" s="52" t="s">
        <v>359</v>
      </c>
      <c r="F830" s="52"/>
      <c r="G830" s="40">
        <f>G831</f>
        <v>5305</v>
      </c>
      <c r="H830" s="40">
        <f>H831</f>
        <v>5740</v>
      </c>
      <c r="I830" s="40">
        <f>I831</f>
        <v>6570</v>
      </c>
      <c r="J830" s="75"/>
      <c r="K830" s="68"/>
      <c r="L830" s="68"/>
      <c r="M830" s="69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</row>
    <row r="831" spans="1:29" ht="18" customHeight="1">
      <c r="A831" s="85" t="s">
        <v>796</v>
      </c>
      <c r="B831" s="51">
        <v>840</v>
      </c>
      <c r="C831" s="52" t="s">
        <v>811</v>
      </c>
      <c r="D831" s="52" t="s">
        <v>59</v>
      </c>
      <c r="E831" s="52" t="s">
        <v>365</v>
      </c>
      <c r="F831" s="52"/>
      <c r="G831" s="40">
        <f>SUM(G832)</f>
        <v>5305</v>
      </c>
      <c r="H831" s="40">
        <f>SUM(H832)</f>
        <v>5740</v>
      </c>
      <c r="I831" s="40">
        <f>SUM(I832)</f>
        <v>6570</v>
      </c>
      <c r="J831" s="75"/>
      <c r="K831" s="68"/>
      <c r="L831" s="68"/>
      <c r="M831" s="69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</row>
    <row r="832" spans="1:29" ht="20.25" customHeight="1">
      <c r="A832" s="82" t="s">
        <v>525</v>
      </c>
      <c r="B832" s="51">
        <v>840</v>
      </c>
      <c r="C832" s="52" t="s">
        <v>811</v>
      </c>
      <c r="D832" s="52" t="s">
        <v>59</v>
      </c>
      <c r="E832" s="52" t="s">
        <v>365</v>
      </c>
      <c r="F832" s="52" t="s">
        <v>468</v>
      </c>
      <c r="G832" s="40">
        <v>5305</v>
      </c>
      <c r="H832" s="40">
        <v>5740</v>
      </c>
      <c r="I832" s="40">
        <v>6570</v>
      </c>
      <c r="J832" s="75"/>
      <c r="K832" s="68"/>
      <c r="L832" s="68"/>
      <c r="M832" s="69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</row>
    <row r="833" spans="1:29" ht="20.25" customHeight="1" hidden="1">
      <c r="A833" s="85" t="s">
        <v>378</v>
      </c>
      <c r="B833" s="51">
        <v>840</v>
      </c>
      <c r="C833" s="52" t="s">
        <v>529</v>
      </c>
      <c r="D833" s="52"/>
      <c r="E833" s="52"/>
      <c r="F833" s="52"/>
      <c r="G833" s="40">
        <f>G834</f>
        <v>0</v>
      </c>
      <c r="H833" s="40">
        <f aca="true" t="shared" si="88" ref="H833:I836">H834</f>
        <v>0</v>
      </c>
      <c r="I833" s="40">
        <f t="shared" si="88"/>
        <v>0</v>
      </c>
      <c r="J833" s="75"/>
      <c r="K833" s="68"/>
      <c r="L833" s="68"/>
      <c r="M833" s="69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</row>
    <row r="834" spans="1:29" ht="20.25" customHeight="1" hidden="1">
      <c r="A834" s="85" t="s">
        <v>250</v>
      </c>
      <c r="B834" s="51">
        <v>840</v>
      </c>
      <c r="C834" s="52" t="s">
        <v>529</v>
      </c>
      <c r="D834" s="52" t="s">
        <v>529</v>
      </c>
      <c r="E834" s="52"/>
      <c r="F834" s="52"/>
      <c r="G834" s="40">
        <f>G835</f>
        <v>0</v>
      </c>
      <c r="H834" s="40">
        <f t="shared" si="88"/>
        <v>0</v>
      </c>
      <c r="I834" s="40">
        <f t="shared" si="88"/>
        <v>0</v>
      </c>
      <c r="J834" s="75"/>
      <c r="K834" s="68"/>
      <c r="L834" s="68"/>
      <c r="M834" s="69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</row>
    <row r="835" spans="1:29" ht="20.25" customHeight="1" hidden="1">
      <c r="A835" s="81" t="s">
        <v>226</v>
      </c>
      <c r="B835" s="51">
        <v>840</v>
      </c>
      <c r="C835" s="52" t="s">
        <v>529</v>
      </c>
      <c r="D835" s="52" t="s">
        <v>529</v>
      </c>
      <c r="E835" s="52" t="s">
        <v>494</v>
      </c>
      <c r="F835" s="52"/>
      <c r="G835" s="40">
        <f>G836</f>
        <v>0</v>
      </c>
      <c r="H835" s="40">
        <f t="shared" si="88"/>
        <v>0</v>
      </c>
      <c r="I835" s="40">
        <f t="shared" si="88"/>
        <v>0</v>
      </c>
      <c r="J835" s="75"/>
      <c r="K835" s="68"/>
      <c r="L835" s="68"/>
      <c r="M835" s="69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</row>
    <row r="836" spans="1:29" ht="20.25" customHeight="1" hidden="1">
      <c r="A836" s="86" t="s">
        <v>323</v>
      </c>
      <c r="B836" s="51">
        <v>840</v>
      </c>
      <c r="C836" s="52" t="s">
        <v>529</v>
      </c>
      <c r="D836" s="52" t="s">
        <v>529</v>
      </c>
      <c r="E836" s="52" t="s">
        <v>537</v>
      </c>
      <c r="F836" s="52"/>
      <c r="G836" s="40">
        <f>G837</f>
        <v>0</v>
      </c>
      <c r="H836" s="40">
        <f t="shared" si="88"/>
        <v>0</v>
      </c>
      <c r="I836" s="40">
        <f t="shared" si="88"/>
        <v>0</v>
      </c>
      <c r="J836" s="75"/>
      <c r="K836" s="68"/>
      <c r="L836" s="68"/>
      <c r="M836" s="69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</row>
    <row r="837" spans="1:29" ht="20.25" customHeight="1" hidden="1">
      <c r="A837" s="85" t="s">
        <v>560</v>
      </c>
      <c r="B837" s="51">
        <v>840</v>
      </c>
      <c r="C837" s="52" t="s">
        <v>529</v>
      </c>
      <c r="D837" s="52" t="s">
        <v>529</v>
      </c>
      <c r="E837" s="52" t="s">
        <v>537</v>
      </c>
      <c r="F837" s="52" t="s">
        <v>559</v>
      </c>
      <c r="G837" s="40"/>
      <c r="H837" s="40"/>
      <c r="I837" s="40"/>
      <c r="J837" s="75"/>
      <c r="K837" s="68"/>
      <c r="L837" s="68"/>
      <c r="M837" s="69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</row>
    <row r="838" spans="1:29" ht="18.75" customHeight="1">
      <c r="A838" s="63" t="s">
        <v>111</v>
      </c>
      <c r="B838" s="51">
        <v>841</v>
      </c>
      <c r="C838" s="52"/>
      <c r="D838" s="52"/>
      <c r="E838" s="52"/>
      <c r="F838" s="52"/>
      <c r="G838" s="40">
        <f>SUM(G839,G849,G911,)</f>
        <v>912981.5000000001</v>
      </c>
      <c r="H838" s="40">
        <f>SUM(H839,H849,H911,)</f>
        <v>432611.2</v>
      </c>
      <c r="I838" s="40">
        <f>SUM(I839,I849,I911,)</f>
        <v>16472.8</v>
      </c>
      <c r="J838" s="75"/>
      <c r="K838" s="68"/>
      <c r="L838" s="68"/>
      <c r="M838" s="69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</row>
    <row r="839" spans="1:29" ht="16.5">
      <c r="A839" s="81" t="s">
        <v>432</v>
      </c>
      <c r="B839" s="51">
        <v>841</v>
      </c>
      <c r="C839" s="52" t="s">
        <v>810</v>
      </c>
      <c r="D839" s="52"/>
      <c r="E839" s="52"/>
      <c r="F839" s="52"/>
      <c r="G839" s="40">
        <f>SUM(G840)</f>
        <v>16595.9</v>
      </c>
      <c r="H839" s="40">
        <f aca="true" t="shared" si="89" ref="H839:I842">SUM(H840)</f>
        <v>16458.4</v>
      </c>
      <c r="I839" s="40">
        <f t="shared" si="89"/>
        <v>16472.8</v>
      </c>
      <c r="J839" s="75"/>
      <c r="K839" s="68"/>
      <c r="L839" s="68"/>
      <c r="M839" s="69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</row>
    <row r="840" spans="1:29" ht="18" customHeight="1">
      <c r="A840" s="85" t="s">
        <v>61</v>
      </c>
      <c r="B840" s="51">
        <v>841</v>
      </c>
      <c r="C840" s="52" t="s">
        <v>810</v>
      </c>
      <c r="D840" s="52" t="s">
        <v>530</v>
      </c>
      <c r="E840" s="52"/>
      <c r="F840" s="52"/>
      <c r="G840" s="40">
        <f>SUM(G841)</f>
        <v>16595.9</v>
      </c>
      <c r="H840" s="40">
        <f t="shared" si="89"/>
        <v>16458.4</v>
      </c>
      <c r="I840" s="40">
        <f t="shared" si="89"/>
        <v>16472.8</v>
      </c>
      <c r="J840" s="75"/>
      <c r="K840" s="68"/>
      <c r="L840" s="68"/>
      <c r="M840" s="69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</row>
    <row r="841" spans="1:29" ht="38.25" customHeight="1">
      <c r="A841" s="81" t="s">
        <v>42</v>
      </c>
      <c r="B841" s="51">
        <v>841</v>
      </c>
      <c r="C841" s="52" t="s">
        <v>810</v>
      </c>
      <c r="D841" s="52" t="s">
        <v>530</v>
      </c>
      <c r="E841" s="52" t="s">
        <v>43</v>
      </c>
      <c r="F841" s="52"/>
      <c r="G841" s="40">
        <f>SUM(G842)</f>
        <v>16595.9</v>
      </c>
      <c r="H841" s="40">
        <f t="shared" si="89"/>
        <v>16458.4</v>
      </c>
      <c r="I841" s="40">
        <f t="shared" si="89"/>
        <v>16472.8</v>
      </c>
      <c r="J841" s="75"/>
      <c r="K841" s="68"/>
      <c r="L841" s="68"/>
      <c r="M841" s="69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</row>
    <row r="842" spans="1:29" ht="16.5">
      <c r="A842" s="81" t="s">
        <v>47</v>
      </c>
      <c r="B842" s="51">
        <v>841</v>
      </c>
      <c r="C842" s="52" t="s">
        <v>810</v>
      </c>
      <c r="D842" s="52" t="s">
        <v>530</v>
      </c>
      <c r="E842" s="52" t="s">
        <v>45</v>
      </c>
      <c r="F842" s="52"/>
      <c r="G842" s="40">
        <f>SUM(G843)</f>
        <v>16595.9</v>
      </c>
      <c r="H842" s="40">
        <f t="shared" si="89"/>
        <v>16458.4</v>
      </c>
      <c r="I842" s="40">
        <f t="shared" si="89"/>
        <v>16472.8</v>
      </c>
      <c r="J842" s="75"/>
      <c r="K842" s="68"/>
      <c r="L842" s="68"/>
      <c r="M842" s="69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</row>
    <row r="843" spans="1:29" ht="19.5" customHeight="1">
      <c r="A843" s="82" t="s">
        <v>361</v>
      </c>
      <c r="B843" s="51">
        <v>841</v>
      </c>
      <c r="C843" s="52" t="s">
        <v>810</v>
      </c>
      <c r="D843" s="52" t="s">
        <v>530</v>
      </c>
      <c r="E843" s="52" t="s">
        <v>45</v>
      </c>
      <c r="F843" s="52" t="s">
        <v>214</v>
      </c>
      <c r="G843" s="40">
        <f>16470.4+125.5</f>
        <v>16595.9</v>
      </c>
      <c r="H843" s="40">
        <f>16332.9+125.5</f>
        <v>16458.4</v>
      </c>
      <c r="I843" s="40">
        <f>16347.3+125.5</f>
        <v>16472.8</v>
      </c>
      <c r="J843" s="75"/>
      <c r="K843" s="68"/>
      <c r="L843" s="68"/>
      <c r="M843" s="69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</row>
    <row r="844" spans="1:29" ht="19.5" customHeight="1" hidden="1">
      <c r="A844" s="85" t="s">
        <v>378</v>
      </c>
      <c r="B844" s="51">
        <v>841</v>
      </c>
      <c r="C844" s="52" t="s">
        <v>529</v>
      </c>
      <c r="D844" s="52"/>
      <c r="E844" s="52"/>
      <c r="F844" s="52"/>
      <c r="G844" s="40">
        <f>G845</f>
        <v>0</v>
      </c>
      <c r="H844" s="40">
        <f aca="true" t="shared" si="90" ref="H844:I847">H845</f>
        <v>0</v>
      </c>
      <c r="I844" s="40">
        <f t="shared" si="90"/>
        <v>0</v>
      </c>
      <c r="J844" s="75"/>
      <c r="K844" s="68"/>
      <c r="L844" s="68"/>
      <c r="M844" s="69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</row>
    <row r="845" spans="1:29" ht="19.5" customHeight="1" hidden="1">
      <c r="A845" s="85" t="s">
        <v>250</v>
      </c>
      <c r="B845" s="51">
        <v>841</v>
      </c>
      <c r="C845" s="52" t="s">
        <v>529</v>
      </c>
      <c r="D845" s="52" t="s">
        <v>529</v>
      </c>
      <c r="E845" s="52"/>
      <c r="F845" s="52"/>
      <c r="G845" s="40">
        <f>G846</f>
        <v>0</v>
      </c>
      <c r="H845" s="40">
        <f t="shared" si="90"/>
        <v>0</v>
      </c>
      <c r="I845" s="40">
        <f t="shared" si="90"/>
        <v>0</v>
      </c>
      <c r="J845" s="75"/>
      <c r="K845" s="68"/>
      <c r="L845" s="68"/>
      <c r="M845" s="69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</row>
    <row r="846" spans="1:29" ht="19.5" customHeight="1" hidden="1">
      <c r="A846" s="81" t="s">
        <v>226</v>
      </c>
      <c r="B846" s="51">
        <v>841</v>
      </c>
      <c r="C846" s="52" t="s">
        <v>529</v>
      </c>
      <c r="D846" s="52" t="s">
        <v>529</v>
      </c>
      <c r="E846" s="52" t="s">
        <v>494</v>
      </c>
      <c r="F846" s="52"/>
      <c r="G846" s="40">
        <f>G847</f>
        <v>0</v>
      </c>
      <c r="H846" s="40">
        <f t="shared" si="90"/>
        <v>0</v>
      </c>
      <c r="I846" s="40">
        <f t="shared" si="90"/>
        <v>0</v>
      </c>
      <c r="J846" s="75"/>
      <c r="K846" s="68"/>
      <c r="L846" s="68"/>
      <c r="M846" s="69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</row>
    <row r="847" spans="1:29" ht="19.5" customHeight="1" hidden="1">
      <c r="A847" s="86" t="s">
        <v>323</v>
      </c>
      <c r="B847" s="51">
        <v>841</v>
      </c>
      <c r="C847" s="52" t="s">
        <v>529</v>
      </c>
      <c r="D847" s="52" t="s">
        <v>529</v>
      </c>
      <c r="E847" s="52" t="s">
        <v>537</v>
      </c>
      <c r="F847" s="52"/>
      <c r="G847" s="40">
        <f>G848</f>
        <v>0</v>
      </c>
      <c r="H847" s="40">
        <f t="shared" si="90"/>
        <v>0</v>
      </c>
      <c r="I847" s="40">
        <f t="shared" si="90"/>
        <v>0</v>
      </c>
      <c r="J847" s="75"/>
      <c r="K847" s="68"/>
      <c r="L847" s="68"/>
      <c r="M847" s="69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</row>
    <row r="848" spans="1:29" ht="19.5" customHeight="1" hidden="1">
      <c r="A848" s="85" t="s">
        <v>560</v>
      </c>
      <c r="B848" s="51">
        <v>841</v>
      </c>
      <c r="C848" s="52" t="s">
        <v>529</v>
      </c>
      <c r="D848" s="52" t="s">
        <v>529</v>
      </c>
      <c r="E848" s="52" t="s">
        <v>537</v>
      </c>
      <c r="F848" s="52" t="s">
        <v>559</v>
      </c>
      <c r="G848" s="40"/>
      <c r="H848" s="40"/>
      <c r="I848" s="40"/>
      <c r="J848" s="75"/>
      <c r="K848" s="68"/>
      <c r="L848" s="68"/>
      <c r="M848" s="69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</row>
    <row r="849" spans="1:29" ht="18" customHeight="1" hidden="1">
      <c r="A849" s="63" t="s">
        <v>112</v>
      </c>
      <c r="B849" s="51">
        <v>841</v>
      </c>
      <c r="C849" s="64"/>
      <c r="D849" s="64"/>
      <c r="E849" s="64"/>
      <c r="F849" s="64"/>
      <c r="G849" s="40">
        <f>SUM(G850,G861,G877,G897,G902,G866)</f>
        <v>175552.5</v>
      </c>
      <c r="H849" s="40">
        <f>SUM(H850,H861,H877,H897,H902,H866)</f>
        <v>0</v>
      </c>
      <c r="I849" s="40">
        <f>SUM(I850,I861,I877,I897,I902,I866)</f>
        <v>0</v>
      </c>
      <c r="J849" s="75"/>
      <c r="K849" s="68"/>
      <c r="L849" s="68"/>
      <c r="M849" s="69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</row>
    <row r="850" spans="1:29" ht="18" customHeight="1" hidden="1">
      <c r="A850" s="79" t="s">
        <v>15</v>
      </c>
      <c r="B850" s="51">
        <v>841</v>
      </c>
      <c r="C850" s="52" t="s">
        <v>807</v>
      </c>
      <c r="D850" s="64"/>
      <c r="E850" s="64"/>
      <c r="F850" s="64"/>
      <c r="G850" s="40">
        <f>G851</f>
        <v>2200</v>
      </c>
      <c r="H850" s="40">
        <f>H851</f>
        <v>0</v>
      </c>
      <c r="I850" s="40">
        <f>I851</f>
        <v>0</v>
      </c>
      <c r="J850" s="75"/>
      <c r="K850" s="68"/>
      <c r="L850" s="68"/>
      <c r="M850" s="69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</row>
    <row r="851" spans="1:29" ht="18" customHeight="1" hidden="1">
      <c r="A851" s="85" t="s">
        <v>327</v>
      </c>
      <c r="B851" s="51">
        <v>841</v>
      </c>
      <c r="C851" s="52" t="s">
        <v>807</v>
      </c>
      <c r="D851" s="52" t="s">
        <v>508</v>
      </c>
      <c r="E851" s="52"/>
      <c r="F851" s="52"/>
      <c r="G851" s="40">
        <f>G852+G855</f>
        <v>2200</v>
      </c>
      <c r="H851" s="40">
        <f aca="true" t="shared" si="91" ref="H851:I853">H852</f>
        <v>0</v>
      </c>
      <c r="I851" s="40">
        <f t="shared" si="91"/>
        <v>0</v>
      </c>
      <c r="J851" s="75"/>
      <c r="K851" s="68"/>
      <c r="L851" s="68"/>
      <c r="M851" s="69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</row>
    <row r="852" spans="1:29" ht="18" customHeight="1" hidden="1">
      <c r="A852" s="86" t="s">
        <v>20</v>
      </c>
      <c r="B852" s="51">
        <v>841</v>
      </c>
      <c r="C852" s="52" t="s">
        <v>807</v>
      </c>
      <c r="D852" s="52" t="s">
        <v>508</v>
      </c>
      <c r="E852" s="52" t="s">
        <v>357</v>
      </c>
      <c r="F852" s="52"/>
      <c r="G852" s="40">
        <f>G853</f>
        <v>0</v>
      </c>
      <c r="H852" s="40">
        <f t="shared" si="91"/>
        <v>0</v>
      </c>
      <c r="I852" s="40">
        <f t="shared" si="91"/>
        <v>0</v>
      </c>
      <c r="J852" s="75"/>
      <c r="K852" s="68"/>
      <c r="L852" s="68"/>
      <c r="M852" s="69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</row>
    <row r="853" spans="1:29" ht="18" customHeight="1" hidden="1">
      <c r="A853" s="81" t="s">
        <v>21</v>
      </c>
      <c r="B853" s="51">
        <v>841</v>
      </c>
      <c r="C853" s="52" t="s">
        <v>807</v>
      </c>
      <c r="D853" s="52" t="s">
        <v>508</v>
      </c>
      <c r="E853" s="52" t="s">
        <v>413</v>
      </c>
      <c r="F853" s="52"/>
      <c r="G853" s="40">
        <f>G854</f>
        <v>0</v>
      </c>
      <c r="H853" s="40">
        <f t="shared" si="91"/>
        <v>0</v>
      </c>
      <c r="I853" s="40">
        <f t="shared" si="91"/>
        <v>0</v>
      </c>
      <c r="J853" s="75"/>
      <c r="K853" s="68"/>
      <c r="L853" s="68"/>
      <c r="M853" s="69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</row>
    <row r="854" spans="1:29" ht="18" customHeight="1" hidden="1">
      <c r="A854" s="82" t="s">
        <v>361</v>
      </c>
      <c r="B854" s="51">
        <v>841</v>
      </c>
      <c r="C854" s="52" t="s">
        <v>807</v>
      </c>
      <c r="D854" s="52" t="s">
        <v>508</v>
      </c>
      <c r="E854" s="52" t="s">
        <v>413</v>
      </c>
      <c r="F854" s="52" t="s">
        <v>214</v>
      </c>
      <c r="G854" s="40"/>
      <c r="H854" s="40"/>
      <c r="I854" s="40"/>
      <c r="J854" s="75"/>
      <c r="K854" s="68"/>
      <c r="L854" s="68"/>
      <c r="M854" s="69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</row>
    <row r="855" spans="1:29" ht="18" customHeight="1" hidden="1">
      <c r="A855" s="81" t="s">
        <v>652</v>
      </c>
      <c r="B855" s="51">
        <v>841</v>
      </c>
      <c r="C855" s="52" t="s">
        <v>807</v>
      </c>
      <c r="D855" s="52" t="s">
        <v>508</v>
      </c>
      <c r="E855" s="87" t="s">
        <v>160</v>
      </c>
      <c r="F855" s="52"/>
      <c r="G855" s="40">
        <f aca="true" t="shared" si="92" ref="G855:I856">G856</f>
        <v>2200</v>
      </c>
      <c r="H855" s="40">
        <f t="shared" si="92"/>
        <v>0</v>
      </c>
      <c r="I855" s="40">
        <f t="shared" si="92"/>
        <v>0</v>
      </c>
      <c r="J855" s="75"/>
      <c r="K855" s="68"/>
      <c r="L855" s="68"/>
      <c r="M855" s="69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</row>
    <row r="856" spans="1:29" ht="18" customHeight="1" hidden="1">
      <c r="A856" s="85" t="s">
        <v>566</v>
      </c>
      <c r="B856" s="51">
        <v>841</v>
      </c>
      <c r="C856" s="52" t="s">
        <v>807</v>
      </c>
      <c r="D856" s="52" t="s">
        <v>508</v>
      </c>
      <c r="E856" s="52" t="s">
        <v>161</v>
      </c>
      <c r="F856" s="52"/>
      <c r="G856" s="40">
        <f t="shared" si="92"/>
        <v>2200</v>
      </c>
      <c r="H856" s="40">
        <f t="shared" si="92"/>
        <v>0</v>
      </c>
      <c r="I856" s="40">
        <f t="shared" si="92"/>
        <v>0</v>
      </c>
      <c r="J856" s="75"/>
      <c r="K856" s="68"/>
      <c r="L856" s="68"/>
      <c r="M856" s="69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</row>
    <row r="857" spans="1:29" ht="18" customHeight="1" hidden="1">
      <c r="A857" s="81" t="s">
        <v>13</v>
      </c>
      <c r="B857" s="51">
        <v>841</v>
      </c>
      <c r="C857" s="52" t="s">
        <v>807</v>
      </c>
      <c r="D857" s="52" t="s">
        <v>508</v>
      </c>
      <c r="E857" s="52" t="s">
        <v>161</v>
      </c>
      <c r="F857" s="52" t="s">
        <v>572</v>
      </c>
      <c r="G857" s="40">
        <v>2200</v>
      </c>
      <c r="H857" s="40"/>
      <c r="I857" s="40"/>
      <c r="J857" s="75"/>
      <c r="K857" s="68"/>
      <c r="L857" s="68"/>
      <c r="M857" s="69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</row>
    <row r="858" spans="1:29" ht="18" customHeight="1" hidden="1">
      <c r="A858" s="82" t="s">
        <v>297</v>
      </c>
      <c r="B858" s="51">
        <v>841</v>
      </c>
      <c r="C858" s="52" t="s">
        <v>807</v>
      </c>
      <c r="D858" s="52" t="s">
        <v>508</v>
      </c>
      <c r="E858" s="52" t="s">
        <v>395</v>
      </c>
      <c r="F858" s="52"/>
      <c r="G858" s="40">
        <f aca="true" t="shared" si="93" ref="G858:I859">SUM(G859)</f>
        <v>0</v>
      </c>
      <c r="H858" s="40">
        <f t="shared" si="93"/>
        <v>0</v>
      </c>
      <c r="I858" s="40">
        <f t="shared" si="93"/>
        <v>0</v>
      </c>
      <c r="J858" s="75"/>
      <c r="K858" s="68"/>
      <c r="L858" s="68"/>
      <c r="M858" s="69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</row>
    <row r="859" spans="1:29" ht="33.75" customHeight="1" hidden="1">
      <c r="A859" s="85" t="s">
        <v>243</v>
      </c>
      <c r="B859" s="51">
        <v>841</v>
      </c>
      <c r="C859" s="52" t="s">
        <v>807</v>
      </c>
      <c r="D859" s="52" t="s">
        <v>508</v>
      </c>
      <c r="E859" s="52" t="s">
        <v>229</v>
      </c>
      <c r="F859" s="52"/>
      <c r="G859" s="40">
        <f t="shared" si="93"/>
        <v>0</v>
      </c>
      <c r="H859" s="40">
        <f t="shared" si="93"/>
        <v>0</v>
      </c>
      <c r="I859" s="40">
        <f t="shared" si="93"/>
        <v>0</v>
      </c>
      <c r="J859" s="75"/>
      <c r="K859" s="68"/>
      <c r="L859" s="68"/>
      <c r="M859" s="69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</row>
    <row r="860" spans="1:29" ht="18" customHeight="1" hidden="1">
      <c r="A860" s="82" t="s">
        <v>19</v>
      </c>
      <c r="B860" s="51">
        <v>841</v>
      </c>
      <c r="C860" s="52" t="s">
        <v>807</v>
      </c>
      <c r="D860" s="52" t="s">
        <v>508</v>
      </c>
      <c r="E860" s="52" t="s">
        <v>229</v>
      </c>
      <c r="F860" s="52" t="s">
        <v>72</v>
      </c>
      <c r="G860" s="40"/>
      <c r="H860" s="40"/>
      <c r="I860" s="40"/>
      <c r="J860" s="75"/>
      <c r="K860" s="68"/>
      <c r="L860" s="68"/>
      <c r="M860" s="69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</row>
    <row r="861" spans="1:29" ht="18" customHeight="1" hidden="1">
      <c r="A861" s="85" t="s">
        <v>328</v>
      </c>
      <c r="B861" s="51">
        <v>841</v>
      </c>
      <c r="C861" s="52" t="s">
        <v>809</v>
      </c>
      <c r="D861" s="52"/>
      <c r="E861" s="52"/>
      <c r="F861" s="52"/>
      <c r="G861" s="40">
        <f>SUM(G862,)</f>
        <v>800</v>
      </c>
      <c r="H861" s="40">
        <f>SUM(H862,)</f>
        <v>0</v>
      </c>
      <c r="I861" s="40">
        <f>SUM(I862,)</f>
        <v>0</v>
      </c>
      <c r="J861" s="75"/>
      <c r="K861" s="68"/>
      <c r="L861" s="68"/>
      <c r="M861" s="69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</row>
    <row r="862" spans="1:29" ht="36.75" customHeight="1" hidden="1">
      <c r="A862" s="85" t="s">
        <v>123</v>
      </c>
      <c r="B862" s="51">
        <v>841</v>
      </c>
      <c r="C862" s="52" t="s">
        <v>809</v>
      </c>
      <c r="D862" s="52" t="s">
        <v>57</v>
      </c>
      <c r="E862" s="52"/>
      <c r="F862" s="52"/>
      <c r="G862" s="40">
        <f>SUM(G863)</f>
        <v>800</v>
      </c>
      <c r="H862" s="40">
        <f aca="true" t="shared" si="94" ref="H862:I864">SUM(H863)</f>
        <v>0</v>
      </c>
      <c r="I862" s="40">
        <f t="shared" si="94"/>
        <v>0</v>
      </c>
      <c r="J862" s="75"/>
      <c r="K862" s="68"/>
      <c r="L862" s="68"/>
      <c r="M862" s="69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</row>
    <row r="863" spans="1:29" ht="18" customHeight="1" hidden="1">
      <c r="A863" s="85" t="s">
        <v>400</v>
      </c>
      <c r="B863" s="51">
        <v>841</v>
      </c>
      <c r="C863" s="52" t="s">
        <v>809</v>
      </c>
      <c r="D863" s="52" t="s">
        <v>57</v>
      </c>
      <c r="E863" s="52" t="s">
        <v>402</v>
      </c>
      <c r="F863" s="52"/>
      <c r="G863" s="40">
        <f>SUM(G864)</f>
        <v>800</v>
      </c>
      <c r="H863" s="40">
        <f t="shared" si="94"/>
        <v>0</v>
      </c>
      <c r="I863" s="40">
        <f t="shared" si="94"/>
        <v>0</v>
      </c>
      <c r="J863" s="75"/>
      <c r="K863" s="68"/>
      <c r="L863" s="68"/>
      <c r="M863" s="69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</row>
    <row r="864" spans="1:29" ht="18" customHeight="1" hidden="1">
      <c r="A864" s="85" t="s">
        <v>403</v>
      </c>
      <c r="B864" s="51">
        <v>841</v>
      </c>
      <c r="C864" s="52" t="s">
        <v>809</v>
      </c>
      <c r="D864" s="52" t="s">
        <v>57</v>
      </c>
      <c r="E864" s="52" t="s">
        <v>401</v>
      </c>
      <c r="F864" s="52"/>
      <c r="G864" s="40">
        <f>SUM(G865)</f>
        <v>800</v>
      </c>
      <c r="H864" s="40">
        <f t="shared" si="94"/>
        <v>0</v>
      </c>
      <c r="I864" s="40">
        <f t="shared" si="94"/>
        <v>0</v>
      </c>
      <c r="J864" s="75"/>
      <c r="K864" s="68"/>
      <c r="L864" s="68"/>
      <c r="M864" s="69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</row>
    <row r="865" spans="1:29" ht="18" customHeight="1" hidden="1">
      <c r="A865" s="81" t="s">
        <v>13</v>
      </c>
      <c r="B865" s="51">
        <v>841</v>
      </c>
      <c r="C865" s="52" t="s">
        <v>809</v>
      </c>
      <c r="D865" s="52" t="s">
        <v>57</v>
      </c>
      <c r="E865" s="52" t="s">
        <v>401</v>
      </c>
      <c r="F865" s="52" t="s">
        <v>572</v>
      </c>
      <c r="G865" s="40">
        <v>800</v>
      </c>
      <c r="H865" s="40"/>
      <c r="I865" s="40"/>
      <c r="J865" s="75"/>
      <c r="K865" s="68"/>
      <c r="L865" s="68"/>
      <c r="M865" s="69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</row>
    <row r="866" spans="1:29" ht="21" customHeight="1" hidden="1">
      <c r="A866" s="50" t="s">
        <v>404</v>
      </c>
      <c r="B866" s="51">
        <v>841</v>
      </c>
      <c r="C866" s="52" t="s">
        <v>59</v>
      </c>
      <c r="D866" s="52"/>
      <c r="E866" s="52"/>
      <c r="F866" s="52"/>
      <c r="G866" s="40">
        <f>G871+G867</f>
        <v>69052</v>
      </c>
      <c r="H866" s="40">
        <f>H871+H867</f>
        <v>0</v>
      </c>
      <c r="I866" s="40">
        <f>I871+I867</f>
        <v>0</v>
      </c>
      <c r="J866" s="75"/>
      <c r="K866" s="68"/>
      <c r="L866" s="68"/>
      <c r="M866" s="69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</row>
    <row r="867" spans="1:29" ht="21" customHeight="1" hidden="1">
      <c r="A867" s="85" t="s">
        <v>64</v>
      </c>
      <c r="B867" s="51">
        <v>841</v>
      </c>
      <c r="C867" s="52" t="s">
        <v>59</v>
      </c>
      <c r="D867" s="52" t="s">
        <v>807</v>
      </c>
      <c r="E867" s="52"/>
      <c r="F867" s="52"/>
      <c r="G867" s="40">
        <f>SUM(G868)</f>
        <v>2000</v>
      </c>
      <c r="H867" s="40">
        <f aca="true" t="shared" si="95" ref="H867:I869">SUM(H868)</f>
        <v>0</v>
      </c>
      <c r="I867" s="40">
        <f t="shared" si="95"/>
        <v>0</v>
      </c>
      <c r="J867" s="75"/>
      <c r="K867" s="68"/>
      <c r="L867" s="68"/>
      <c r="M867" s="69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</row>
    <row r="868" spans="1:29" ht="21" customHeight="1" hidden="1">
      <c r="A868" s="85" t="s">
        <v>227</v>
      </c>
      <c r="B868" s="51">
        <v>841</v>
      </c>
      <c r="C868" s="52" t="s">
        <v>59</v>
      </c>
      <c r="D868" s="52" t="s">
        <v>807</v>
      </c>
      <c r="E868" s="52" t="s">
        <v>410</v>
      </c>
      <c r="F868" s="52"/>
      <c r="G868" s="40">
        <f>SUM(G869)</f>
        <v>2000</v>
      </c>
      <c r="H868" s="40">
        <f t="shared" si="95"/>
        <v>0</v>
      </c>
      <c r="I868" s="40">
        <f t="shared" si="95"/>
        <v>0</v>
      </c>
      <c r="J868" s="75"/>
      <c r="K868" s="68"/>
      <c r="L868" s="68"/>
      <c r="M868" s="69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</row>
    <row r="869" spans="1:29" ht="21" customHeight="1" hidden="1">
      <c r="A869" s="85" t="s">
        <v>127</v>
      </c>
      <c r="B869" s="51">
        <v>841</v>
      </c>
      <c r="C869" s="52" t="s">
        <v>59</v>
      </c>
      <c r="D869" s="52" t="s">
        <v>807</v>
      </c>
      <c r="E869" s="52" t="s">
        <v>409</v>
      </c>
      <c r="F869" s="52"/>
      <c r="G869" s="40">
        <f>SUM(G870)</f>
        <v>2000</v>
      </c>
      <c r="H869" s="40">
        <f t="shared" si="95"/>
        <v>0</v>
      </c>
      <c r="I869" s="40">
        <f t="shared" si="95"/>
        <v>0</v>
      </c>
      <c r="J869" s="75"/>
      <c r="K869" s="68"/>
      <c r="L869" s="68"/>
      <c r="M869" s="69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</row>
    <row r="870" spans="1:29" ht="21" customHeight="1" hidden="1">
      <c r="A870" s="81" t="s">
        <v>361</v>
      </c>
      <c r="B870" s="51">
        <v>841</v>
      </c>
      <c r="C870" s="52" t="s">
        <v>59</v>
      </c>
      <c r="D870" s="52" t="s">
        <v>807</v>
      </c>
      <c r="E870" s="52" t="s">
        <v>409</v>
      </c>
      <c r="F870" s="52" t="s">
        <v>214</v>
      </c>
      <c r="G870" s="40">
        <v>2000</v>
      </c>
      <c r="H870" s="40"/>
      <c r="I870" s="40"/>
      <c r="J870" s="75"/>
      <c r="K870" s="68"/>
      <c r="L870" s="68"/>
      <c r="M870" s="69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</row>
    <row r="871" spans="1:29" ht="17.25" customHeight="1" hidden="1">
      <c r="A871" s="50" t="s">
        <v>129</v>
      </c>
      <c r="B871" s="51">
        <v>841</v>
      </c>
      <c r="C871" s="52" t="s">
        <v>59</v>
      </c>
      <c r="D871" s="52" t="s">
        <v>809</v>
      </c>
      <c r="E871" s="52"/>
      <c r="F871" s="52"/>
      <c r="G871" s="40">
        <f>G872</f>
        <v>67052</v>
      </c>
      <c r="H871" s="40">
        <f>H872</f>
        <v>0</v>
      </c>
      <c r="I871" s="40">
        <f>I872</f>
        <v>0</v>
      </c>
      <c r="J871" s="75"/>
      <c r="K871" s="68"/>
      <c r="L871" s="68"/>
      <c r="M871" s="69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</row>
    <row r="872" spans="1:29" ht="18" customHeight="1" hidden="1">
      <c r="A872" s="85" t="s">
        <v>416</v>
      </c>
      <c r="B872" s="51">
        <v>841</v>
      </c>
      <c r="C872" s="52" t="s">
        <v>59</v>
      </c>
      <c r="D872" s="52" t="s">
        <v>809</v>
      </c>
      <c r="E872" s="52" t="s">
        <v>417</v>
      </c>
      <c r="F872" s="52"/>
      <c r="G872" s="40">
        <f>G873+G875</f>
        <v>67052</v>
      </c>
      <c r="H872" s="40">
        <f>H873+H875</f>
        <v>0</v>
      </c>
      <c r="I872" s="40">
        <f>I873+I875</f>
        <v>0</v>
      </c>
      <c r="J872" s="75"/>
      <c r="K872" s="68"/>
      <c r="L872" s="68"/>
      <c r="M872" s="69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</row>
    <row r="873" spans="1:29" ht="33" customHeight="1" hidden="1">
      <c r="A873" s="50" t="s">
        <v>419</v>
      </c>
      <c r="B873" s="51">
        <v>841</v>
      </c>
      <c r="C873" s="52" t="s">
        <v>59</v>
      </c>
      <c r="D873" s="52" t="s">
        <v>809</v>
      </c>
      <c r="E873" s="52" t="s">
        <v>420</v>
      </c>
      <c r="F873" s="52"/>
      <c r="G873" s="40">
        <f>G874</f>
        <v>67052</v>
      </c>
      <c r="H873" s="40">
        <f>H874</f>
        <v>0</v>
      </c>
      <c r="I873" s="40">
        <f>I874</f>
        <v>0</v>
      </c>
      <c r="J873" s="75"/>
      <c r="K873" s="68"/>
      <c r="L873" s="68"/>
      <c r="M873" s="69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</row>
    <row r="874" spans="1:29" ht="19.5" customHeight="1" hidden="1">
      <c r="A874" s="81" t="s">
        <v>361</v>
      </c>
      <c r="B874" s="51">
        <v>841</v>
      </c>
      <c r="C874" s="52" t="s">
        <v>59</v>
      </c>
      <c r="D874" s="52" t="s">
        <v>809</v>
      </c>
      <c r="E874" s="52" t="s">
        <v>420</v>
      </c>
      <c r="F874" s="52" t="s">
        <v>214</v>
      </c>
      <c r="G874" s="40">
        <v>67052</v>
      </c>
      <c r="H874" s="40"/>
      <c r="I874" s="40"/>
      <c r="J874" s="75"/>
      <c r="K874" s="68"/>
      <c r="L874" s="68"/>
      <c r="M874" s="69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</row>
    <row r="875" spans="1:29" ht="16.5" customHeight="1" hidden="1">
      <c r="A875" s="50" t="s">
        <v>528</v>
      </c>
      <c r="B875" s="51">
        <v>841</v>
      </c>
      <c r="C875" s="52" t="s">
        <v>59</v>
      </c>
      <c r="D875" s="52" t="s">
        <v>809</v>
      </c>
      <c r="E875" s="52" t="s">
        <v>423</v>
      </c>
      <c r="F875" s="52"/>
      <c r="G875" s="40">
        <f>G876</f>
        <v>0</v>
      </c>
      <c r="H875" s="40">
        <f>H876</f>
        <v>0</v>
      </c>
      <c r="I875" s="40">
        <f>I876</f>
        <v>0</v>
      </c>
      <c r="J875" s="75"/>
      <c r="K875" s="68"/>
      <c r="L875" s="68"/>
      <c r="M875" s="69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</row>
    <row r="876" spans="1:29" ht="15.75" customHeight="1" hidden="1">
      <c r="A876" s="82" t="s">
        <v>361</v>
      </c>
      <c r="B876" s="51">
        <v>841</v>
      </c>
      <c r="C876" s="52" t="s">
        <v>59</v>
      </c>
      <c r="D876" s="52" t="s">
        <v>809</v>
      </c>
      <c r="E876" s="52" t="s">
        <v>423</v>
      </c>
      <c r="F876" s="52" t="s">
        <v>214</v>
      </c>
      <c r="G876" s="40"/>
      <c r="H876" s="40"/>
      <c r="I876" s="40"/>
      <c r="J876" s="75"/>
      <c r="K876" s="68"/>
      <c r="L876" s="68"/>
      <c r="M876" s="69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</row>
    <row r="877" spans="1:29" ht="16.5" hidden="1">
      <c r="A877" s="86" t="s">
        <v>426</v>
      </c>
      <c r="B877" s="51">
        <v>841</v>
      </c>
      <c r="C877" s="52" t="s">
        <v>529</v>
      </c>
      <c r="D877" s="52"/>
      <c r="E877" s="52"/>
      <c r="F877" s="52"/>
      <c r="G877" s="40">
        <f>SUM(G878,G882,G889)</f>
        <v>80408.7</v>
      </c>
      <c r="H877" s="40">
        <f>SUM(H878,H882,H889)</f>
        <v>0</v>
      </c>
      <c r="I877" s="40">
        <f>SUM(I878,I882,I889)</f>
        <v>0</v>
      </c>
      <c r="J877" s="75"/>
      <c r="K877" s="68"/>
      <c r="L877" s="68"/>
      <c r="M877" s="69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</row>
    <row r="878" spans="1:29" ht="16.5" hidden="1">
      <c r="A878" s="85" t="s">
        <v>456</v>
      </c>
      <c r="B878" s="51">
        <v>841</v>
      </c>
      <c r="C878" s="52" t="s">
        <v>529</v>
      </c>
      <c r="D878" s="52" t="s">
        <v>807</v>
      </c>
      <c r="E878" s="52"/>
      <c r="F878" s="52"/>
      <c r="G878" s="40">
        <f>SUM(G879)</f>
        <v>13670.8</v>
      </c>
      <c r="H878" s="40">
        <f aca="true" t="shared" si="96" ref="H878:I880">SUM(H879)</f>
        <v>0</v>
      </c>
      <c r="I878" s="40">
        <f t="shared" si="96"/>
        <v>0</v>
      </c>
      <c r="J878" s="75"/>
      <c r="K878" s="68"/>
      <c r="L878" s="68"/>
      <c r="M878" s="69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</row>
    <row r="879" spans="1:29" ht="18" customHeight="1" hidden="1">
      <c r="A879" s="85" t="s">
        <v>70</v>
      </c>
      <c r="B879" s="51">
        <v>841</v>
      </c>
      <c r="C879" s="52" t="s">
        <v>529</v>
      </c>
      <c r="D879" s="52" t="s">
        <v>807</v>
      </c>
      <c r="E879" s="52" t="s">
        <v>457</v>
      </c>
      <c r="F879" s="52"/>
      <c r="G879" s="40">
        <f>SUM(G880)</f>
        <v>13670.8</v>
      </c>
      <c r="H879" s="40">
        <f t="shared" si="96"/>
        <v>0</v>
      </c>
      <c r="I879" s="40">
        <f t="shared" si="96"/>
        <v>0</v>
      </c>
      <c r="J879" s="75"/>
      <c r="K879" s="68"/>
      <c r="L879" s="68"/>
      <c r="M879" s="69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</row>
    <row r="880" spans="1:29" ht="16.5" customHeight="1" hidden="1">
      <c r="A880" s="85" t="s">
        <v>403</v>
      </c>
      <c r="B880" s="51">
        <v>841</v>
      </c>
      <c r="C880" s="52" t="s">
        <v>529</v>
      </c>
      <c r="D880" s="52" t="s">
        <v>807</v>
      </c>
      <c r="E880" s="52" t="s">
        <v>458</v>
      </c>
      <c r="F880" s="52"/>
      <c r="G880" s="40">
        <f>SUM(G881)</f>
        <v>13670.8</v>
      </c>
      <c r="H880" s="40">
        <f t="shared" si="96"/>
        <v>0</v>
      </c>
      <c r="I880" s="40">
        <f t="shared" si="96"/>
        <v>0</v>
      </c>
      <c r="J880" s="75"/>
      <c r="K880" s="68"/>
      <c r="L880" s="68"/>
      <c r="M880" s="69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</row>
    <row r="881" spans="1:29" ht="18.75" customHeight="1" hidden="1">
      <c r="A881" s="81" t="s">
        <v>13</v>
      </c>
      <c r="B881" s="51">
        <v>841</v>
      </c>
      <c r="C881" s="52" t="s">
        <v>529</v>
      </c>
      <c r="D881" s="52" t="s">
        <v>807</v>
      </c>
      <c r="E881" s="52" t="s">
        <v>458</v>
      </c>
      <c r="F881" s="52" t="s">
        <v>572</v>
      </c>
      <c r="G881" s="40">
        <v>13670.8</v>
      </c>
      <c r="H881" s="40"/>
      <c r="I881" s="40"/>
      <c r="J881" s="75"/>
      <c r="K881" s="68"/>
      <c r="L881" s="68"/>
      <c r="M881" s="69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</row>
    <row r="882" spans="1:29" ht="16.5" hidden="1">
      <c r="A882" s="85" t="s">
        <v>121</v>
      </c>
      <c r="B882" s="51">
        <v>841</v>
      </c>
      <c r="C882" s="52" t="s">
        <v>529</v>
      </c>
      <c r="D882" s="52" t="s">
        <v>808</v>
      </c>
      <c r="E882" s="52"/>
      <c r="F882" s="52"/>
      <c r="G882" s="40">
        <f>SUM(G883,G886)</f>
        <v>59775.4</v>
      </c>
      <c r="H882" s="40">
        <f>SUM(H883,H886)</f>
        <v>0</v>
      </c>
      <c r="I882" s="40">
        <f>SUM(I883,I886)</f>
        <v>0</v>
      </c>
      <c r="J882" s="75"/>
      <c r="K882" s="68"/>
      <c r="L882" s="68"/>
      <c r="M882" s="69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</row>
    <row r="883" spans="1:29" ht="20.25" customHeight="1" hidden="1">
      <c r="A883" s="85" t="s">
        <v>304</v>
      </c>
      <c r="B883" s="51">
        <v>841</v>
      </c>
      <c r="C883" s="52" t="s">
        <v>529</v>
      </c>
      <c r="D883" s="52" t="s">
        <v>808</v>
      </c>
      <c r="E883" s="52" t="s">
        <v>459</v>
      </c>
      <c r="F883" s="52"/>
      <c r="G883" s="40">
        <f aca="true" t="shared" si="97" ref="G883:I884">SUM(G884)</f>
        <v>21543.1</v>
      </c>
      <c r="H883" s="40">
        <f t="shared" si="97"/>
        <v>0</v>
      </c>
      <c r="I883" s="40">
        <f t="shared" si="97"/>
        <v>0</v>
      </c>
      <c r="J883" s="75"/>
      <c r="K883" s="68"/>
      <c r="L883" s="68"/>
      <c r="M883" s="69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</row>
    <row r="884" spans="1:29" ht="18.75" customHeight="1" hidden="1">
      <c r="A884" s="85" t="s">
        <v>403</v>
      </c>
      <c r="B884" s="51">
        <v>841</v>
      </c>
      <c r="C884" s="52" t="s">
        <v>529</v>
      </c>
      <c r="D884" s="52" t="s">
        <v>808</v>
      </c>
      <c r="E884" s="52" t="s">
        <v>460</v>
      </c>
      <c r="F884" s="52"/>
      <c r="G884" s="40">
        <f t="shared" si="97"/>
        <v>21543.1</v>
      </c>
      <c r="H884" s="40">
        <f t="shared" si="97"/>
        <v>0</v>
      </c>
      <c r="I884" s="40">
        <f t="shared" si="97"/>
        <v>0</v>
      </c>
      <c r="J884" s="75"/>
      <c r="K884" s="68"/>
      <c r="L884" s="68"/>
      <c r="M884" s="69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</row>
    <row r="885" spans="1:29" ht="19.5" customHeight="1" hidden="1">
      <c r="A885" s="81" t="s">
        <v>13</v>
      </c>
      <c r="B885" s="51">
        <v>841</v>
      </c>
      <c r="C885" s="52" t="s">
        <v>529</v>
      </c>
      <c r="D885" s="52" t="s">
        <v>808</v>
      </c>
      <c r="E885" s="52" t="s">
        <v>460</v>
      </c>
      <c r="F885" s="52" t="s">
        <v>572</v>
      </c>
      <c r="G885" s="40">
        <v>21543.1</v>
      </c>
      <c r="H885" s="40"/>
      <c r="I885" s="40"/>
      <c r="J885" s="75"/>
      <c r="K885" s="68"/>
      <c r="L885" s="68"/>
      <c r="M885" s="69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</row>
    <row r="886" spans="1:29" ht="18" customHeight="1" hidden="1">
      <c r="A886" s="85" t="s">
        <v>484</v>
      </c>
      <c r="B886" s="51">
        <v>841</v>
      </c>
      <c r="C886" s="52" t="s">
        <v>529</v>
      </c>
      <c r="D886" s="52" t="s">
        <v>808</v>
      </c>
      <c r="E886" s="52" t="s">
        <v>462</v>
      </c>
      <c r="F886" s="52"/>
      <c r="G886" s="40">
        <f aca="true" t="shared" si="98" ref="G886:I887">SUM(G887)</f>
        <v>38232.3</v>
      </c>
      <c r="H886" s="40">
        <f t="shared" si="98"/>
        <v>0</v>
      </c>
      <c r="I886" s="40">
        <f t="shared" si="98"/>
        <v>0</v>
      </c>
      <c r="J886" s="75"/>
      <c r="K886" s="68"/>
      <c r="L886" s="68"/>
      <c r="M886" s="69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</row>
    <row r="887" spans="1:29" ht="17.25" customHeight="1" hidden="1">
      <c r="A887" s="85" t="s">
        <v>403</v>
      </c>
      <c r="B887" s="51">
        <v>841</v>
      </c>
      <c r="C887" s="52" t="s">
        <v>529</v>
      </c>
      <c r="D887" s="52" t="s">
        <v>808</v>
      </c>
      <c r="E887" s="52" t="s">
        <v>463</v>
      </c>
      <c r="F887" s="52"/>
      <c r="G887" s="40">
        <f t="shared" si="98"/>
        <v>38232.3</v>
      </c>
      <c r="H887" s="40">
        <f t="shared" si="98"/>
        <v>0</v>
      </c>
      <c r="I887" s="40">
        <f t="shared" si="98"/>
        <v>0</v>
      </c>
      <c r="J887" s="75"/>
      <c r="K887" s="68"/>
      <c r="L887" s="68"/>
      <c r="M887" s="69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</row>
    <row r="888" spans="1:29" ht="18.75" customHeight="1" hidden="1">
      <c r="A888" s="81" t="s">
        <v>13</v>
      </c>
      <c r="B888" s="51">
        <v>841</v>
      </c>
      <c r="C888" s="52" t="s">
        <v>529</v>
      </c>
      <c r="D888" s="52" t="s">
        <v>808</v>
      </c>
      <c r="E888" s="52" t="s">
        <v>463</v>
      </c>
      <c r="F888" s="52" t="s">
        <v>572</v>
      </c>
      <c r="G888" s="40">
        <v>38232.3</v>
      </c>
      <c r="H888" s="40"/>
      <c r="I888" s="40"/>
      <c r="J888" s="75"/>
      <c r="K888" s="68"/>
      <c r="L888" s="68"/>
      <c r="M888" s="69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</row>
    <row r="889" spans="1:29" ht="18.75" customHeight="1" hidden="1">
      <c r="A889" s="85" t="s">
        <v>122</v>
      </c>
      <c r="B889" s="106">
        <v>841</v>
      </c>
      <c r="C889" s="83" t="s">
        <v>529</v>
      </c>
      <c r="D889" s="83" t="s">
        <v>57</v>
      </c>
      <c r="E889" s="83"/>
      <c r="F889" s="83"/>
      <c r="G889" s="40">
        <f>G890+G893</f>
        <v>6962.5</v>
      </c>
      <c r="H889" s="40">
        <f>H890+H893</f>
        <v>0</v>
      </c>
      <c r="I889" s="40">
        <f>I890+I893</f>
        <v>0</v>
      </c>
      <c r="J889" s="75"/>
      <c r="K889" s="68"/>
      <c r="L889" s="68"/>
      <c r="M889" s="69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</row>
    <row r="890" spans="1:29" ht="33.75" customHeight="1" hidden="1">
      <c r="A890" s="81" t="s">
        <v>0</v>
      </c>
      <c r="B890" s="51">
        <v>841</v>
      </c>
      <c r="C890" s="52" t="s">
        <v>529</v>
      </c>
      <c r="D890" s="52" t="s">
        <v>57</v>
      </c>
      <c r="E890" s="52" t="s">
        <v>555</v>
      </c>
      <c r="F890" s="83"/>
      <c r="G890" s="40">
        <f aca="true" t="shared" si="99" ref="G890:I891">SUM(G891)</f>
        <v>0</v>
      </c>
      <c r="H890" s="40">
        <f t="shared" si="99"/>
        <v>0</v>
      </c>
      <c r="I890" s="40">
        <f t="shared" si="99"/>
        <v>0</v>
      </c>
      <c r="J890" s="75"/>
      <c r="K890" s="68"/>
      <c r="L890" s="68"/>
      <c r="M890" s="69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</row>
    <row r="891" spans="1:29" ht="18.75" customHeight="1" hidden="1">
      <c r="A891" s="85" t="s">
        <v>403</v>
      </c>
      <c r="B891" s="51">
        <v>841</v>
      </c>
      <c r="C891" s="52" t="s">
        <v>529</v>
      </c>
      <c r="D891" s="52" t="s">
        <v>57</v>
      </c>
      <c r="E891" s="52" t="s">
        <v>556</v>
      </c>
      <c r="F891" s="52"/>
      <c r="G891" s="40">
        <f t="shared" si="99"/>
        <v>0</v>
      </c>
      <c r="H891" s="40">
        <f t="shared" si="99"/>
        <v>0</v>
      </c>
      <c r="I891" s="40">
        <f t="shared" si="99"/>
        <v>0</v>
      </c>
      <c r="J891" s="75"/>
      <c r="K891" s="68"/>
      <c r="L891" s="68"/>
      <c r="M891" s="69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</row>
    <row r="892" spans="1:29" ht="18.75" customHeight="1" hidden="1">
      <c r="A892" s="81" t="s">
        <v>13</v>
      </c>
      <c r="B892" s="51">
        <v>841</v>
      </c>
      <c r="C892" s="52" t="s">
        <v>529</v>
      </c>
      <c r="D892" s="52" t="s">
        <v>57</v>
      </c>
      <c r="E892" s="52" t="s">
        <v>556</v>
      </c>
      <c r="F892" s="52" t="s">
        <v>572</v>
      </c>
      <c r="G892" s="40"/>
      <c r="H892" s="40"/>
      <c r="I892" s="40"/>
      <c r="J892" s="75"/>
      <c r="K892" s="68"/>
      <c r="L892" s="68"/>
      <c r="M892" s="69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</row>
    <row r="893" spans="1:29" ht="16.5" hidden="1">
      <c r="A893" s="86" t="s">
        <v>364</v>
      </c>
      <c r="B893" s="106">
        <v>841</v>
      </c>
      <c r="C893" s="83" t="s">
        <v>529</v>
      </c>
      <c r="D893" s="83" t="s">
        <v>57</v>
      </c>
      <c r="E893" s="52" t="s">
        <v>358</v>
      </c>
      <c r="F893" s="52"/>
      <c r="G893" s="40">
        <f>SUM(G895)</f>
        <v>6962.5</v>
      </c>
      <c r="H893" s="40">
        <f>SUM(H895)</f>
        <v>0</v>
      </c>
      <c r="I893" s="40">
        <f>SUM(I895)</f>
        <v>0</v>
      </c>
      <c r="J893" s="75"/>
      <c r="K893" s="68"/>
      <c r="L893" s="68"/>
      <c r="M893" s="69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</row>
    <row r="894" spans="1:29" ht="16.5" hidden="1">
      <c r="A894" s="86" t="s">
        <v>394</v>
      </c>
      <c r="B894" s="106">
        <v>841</v>
      </c>
      <c r="C894" s="83" t="s">
        <v>529</v>
      </c>
      <c r="D894" s="83" t="s">
        <v>57</v>
      </c>
      <c r="E894" s="52" t="s">
        <v>359</v>
      </c>
      <c r="F894" s="52"/>
      <c r="G894" s="40">
        <f>G895</f>
        <v>6962.5</v>
      </c>
      <c r="H894" s="40">
        <f>H895</f>
        <v>0</v>
      </c>
      <c r="I894" s="40">
        <f>I895</f>
        <v>0</v>
      </c>
      <c r="J894" s="75"/>
      <c r="K894" s="68"/>
      <c r="L894" s="68"/>
      <c r="M894" s="69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</row>
    <row r="895" spans="1:29" ht="18.75" customHeight="1" hidden="1">
      <c r="A895" s="85" t="s">
        <v>795</v>
      </c>
      <c r="B895" s="106">
        <v>841</v>
      </c>
      <c r="C895" s="83" t="s">
        <v>529</v>
      </c>
      <c r="D895" s="83" t="s">
        <v>57</v>
      </c>
      <c r="E895" s="52" t="s">
        <v>363</v>
      </c>
      <c r="F895" s="52"/>
      <c r="G895" s="40">
        <f>SUM(G896)</f>
        <v>6962.5</v>
      </c>
      <c r="H895" s="40">
        <f>SUM(H896)</f>
        <v>0</v>
      </c>
      <c r="I895" s="40">
        <f>SUM(I896)</f>
        <v>0</v>
      </c>
      <c r="J895" s="75"/>
      <c r="K895" s="68"/>
      <c r="L895" s="68"/>
      <c r="M895" s="69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</row>
    <row r="896" spans="1:29" ht="18.75" customHeight="1" hidden="1">
      <c r="A896" s="82" t="s">
        <v>522</v>
      </c>
      <c r="B896" s="51">
        <v>841</v>
      </c>
      <c r="C896" s="52" t="s">
        <v>529</v>
      </c>
      <c r="D896" s="52" t="s">
        <v>57</v>
      </c>
      <c r="E896" s="52" t="s">
        <v>363</v>
      </c>
      <c r="F896" s="52" t="s">
        <v>120</v>
      </c>
      <c r="G896" s="40">
        <v>6962.5</v>
      </c>
      <c r="H896" s="40"/>
      <c r="I896" s="40"/>
      <c r="J896" s="75"/>
      <c r="K896" s="68"/>
      <c r="L896" s="68"/>
      <c r="M896" s="69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</row>
    <row r="897" spans="1:29" ht="18" customHeight="1" hidden="1">
      <c r="A897" s="85" t="s">
        <v>235</v>
      </c>
      <c r="B897" s="51">
        <v>841</v>
      </c>
      <c r="C897" s="52" t="s">
        <v>60</v>
      </c>
      <c r="D897" s="52"/>
      <c r="E897" s="52"/>
      <c r="F897" s="52"/>
      <c r="G897" s="40">
        <f>SUM(G898)</f>
        <v>3367.6</v>
      </c>
      <c r="H897" s="40">
        <f aca="true" t="shared" si="100" ref="H897:I900">SUM(H898)</f>
        <v>0</v>
      </c>
      <c r="I897" s="40">
        <f t="shared" si="100"/>
        <v>0</v>
      </c>
      <c r="J897" s="75"/>
      <c r="K897" s="68"/>
      <c r="L897" s="68"/>
      <c r="M897" s="69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</row>
    <row r="898" spans="1:29" ht="19.5" customHeight="1" hidden="1">
      <c r="A898" s="85" t="s">
        <v>251</v>
      </c>
      <c r="B898" s="51">
        <v>841</v>
      </c>
      <c r="C898" s="52" t="s">
        <v>60</v>
      </c>
      <c r="D898" s="52" t="s">
        <v>807</v>
      </c>
      <c r="E898" s="52"/>
      <c r="F898" s="52"/>
      <c r="G898" s="40">
        <f>SUM(G899)</f>
        <v>3367.6</v>
      </c>
      <c r="H898" s="40">
        <f t="shared" si="100"/>
        <v>0</v>
      </c>
      <c r="I898" s="40">
        <f t="shared" si="100"/>
        <v>0</v>
      </c>
      <c r="J898" s="75"/>
      <c r="K898" s="68"/>
      <c r="L898" s="68"/>
      <c r="M898" s="69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</row>
    <row r="899" spans="1:29" ht="19.5" customHeight="1" hidden="1">
      <c r="A899" s="85" t="s">
        <v>252</v>
      </c>
      <c r="B899" s="51">
        <v>841</v>
      </c>
      <c r="C899" s="52" t="s">
        <v>60</v>
      </c>
      <c r="D899" s="52" t="s">
        <v>807</v>
      </c>
      <c r="E899" s="52" t="s">
        <v>162</v>
      </c>
      <c r="F899" s="52"/>
      <c r="G899" s="40">
        <f>SUM(G900)</f>
        <v>3367.6</v>
      </c>
      <c r="H899" s="40">
        <f t="shared" si="100"/>
        <v>0</v>
      </c>
      <c r="I899" s="40">
        <f t="shared" si="100"/>
        <v>0</v>
      </c>
      <c r="J899" s="75"/>
      <c r="K899" s="68"/>
      <c r="L899" s="68"/>
      <c r="M899" s="69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</row>
    <row r="900" spans="1:29" ht="19.5" customHeight="1" hidden="1">
      <c r="A900" s="85" t="s">
        <v>403</v>
      </c>
      <c r="B900" s="51">
        <v>841</v>
      </c>
      <c r="C900" s="52" t="s">
        <v>60</v>
      </c>
      <c r="D900" s="52" t="s">
        <v>807</v>
      </c>
      <c r="E900" s="52" t="s">
        <v>163</v>
      </c>
      <c r="F900" s="52"/>
      <c r="G900" s="40">
        <f>SUM(G901)</f>
        <v>3367.6</v>
      </c>
      <c r="H900" s="40">
        <f t="shared" si="100"/>
        <v>0</v>
      </c>
      <c r="I900" s="40">
        <f t="shared" si="100"/>
        <v>0</v>
      </c>
      <c r="J900" s="75"/>
      <c r="K900" s="68"/>
      <c r="L900" s="68"/>
      <c r="M900" s="69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</row>
    <row r="901" spans="1:29" ht="19.5" customHeight="1" hidden="1">
      <c r="A901" s="81" t="s">
        <v>159</v>
      </c>
      <c r="B901" s="51">
        <v>841</v>
      </c>
      <c r="C901" s="52" t="s">
        <v>60</v>
      </c>
      <c r="D901" s="52" t="s">
        <v>807</v>
      </c>
      <c r="E901" s="52" t="s">
        <v>163</v>
      </c>
      <c r="F901" s="52" t="s">
        <v>572</v>
      </c>
      <c r="G901" s="40">
        <v>3367.6</v>
      </c>
      <c r="H901" s="40"/>
      <c r="I901" s="40"/>
      <c r="J901" s="75"/>
      <c r="K901" s="68"/>
      <c r="L901" s="68"/>
      <c r="M901" s="69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</row>
    <row r="902" spans="1:29" ht="16.5" hidden="1">
      <c r="A902" s="85" t="s">
        <v>237</v>
      </c>
      <c r="B902" s="51">
        <v>841</v>
      </c>
      <c r="C902" s="83" t="s">
        <v>57</v>
      </c>
      <c r="D902" s="83"/>
      <c r="E902" s="52"/>
      <c r="F902" s="52"/>
      <c r="G902" s="40">
        <f>G903+G907</f>
        <v>19724.2</v>
      </c>
      <c r="H902" s="40">
        <f>H903+H907</f>
        <v>0</v>
      </c>
      <c r="I902" s="40">
        <f>I903+I907</f>
        <v>0</v>
      </c>
      <c r="J902" s="75"/>
      <c r="K902" s="68"/>
      <c r="L902" s="68"/>
      <c r="M902" s="69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</row>
    <row r="903" spans="1:29" ht="16.5" hidden="1">
      <c r="A903" s="85" t="s">
        <v>570</v>
      </c>
      <c r="B903" s="51">
        <v>841</v>
      </c>
      <c r="C903" s="52" t="s">
        <v>57</v>
      </c>
      <c r="D903" s="52" t="s">
        <v>807</v>
      </c>
      <c r="E903" s="52"/>
      <c r="F903" s="52"/>
      <c r="G903" s="40">
        <f>SUM(G904)</f>
        <v>19724.2</v>
      </c>
      <c r="H903" s="40">
        <f aca="true" t="shared" si="101" ref="H903:I905">SUM(H904)</f>
        <v>0</v>
      </c>
      <c r="I903" s="40">
        <f t="shared" si="101"/>
        <v>0</v>
      </c>
      <c r="J903" s="75"/>
      <c r="K903" s="68"/>
      <c r="L903" s="68"/>
      <c r="M903" s="69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</row>
    <row r="904" spans="1:29" ht="18.75" customHeight="1" hidden="1">
      <c r="A904" s="50" t="s">
        <v>314</v>
      </c>
      <c r="B904" s="51">
        <v>841</v>
      </c>
      <c r="C904" s="52" t="s">
        <v>57</v>
      </c>
      <c r="D904" s="52" t="s">
        <v>807</v>
      </c>
      <c r="E904" s="52" t="s">
        <v>139</v>
      </c>
      <c r="F904" s="52"/>
      <c r="G904" s="40">
        <f>SUM(G905)</f>
        <v>19724.2</v>
      </c>
      <c r="H904" s="40">
        <f t="shared" si="101"/>
        <v>0</v>
      </c>
      <c r="I904" s="40">
        <f t="shared" si="101"/>
        <v>0</v>
      </c>
      <c r="J904" s="75"/>
      <c r="K904" s="68"/>
      <c r="L904" s="68"/>
      <c r="M904" s="69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</row>
    <row r="905" spans="1:29" ht="20.25" customHeight="1" hidden="1">
      <c r="A905" s="85" t="s">
        <v>403</v>
      </c>
      <c r="B905" s="51">
        <v>841</v>
      </c>
      <c r="C905" s="52" t="s">
        <v>57</v>
      </c>
      <c r="D905" s="52" t="s">
        <v>807</v>
      </c>
      <c r="E905" s="52" t="s">
        <v>140</v>
      </c>
      <c r="F905" s="52"/>
      <c r="G905" s="40">
        <f>SUM(G906)</f>
        <v>19724.2</v>
      </c>
      <c r="H905" s="40">
        <f t="shared" si="101"/>
        <v>0</v>
      </c>
      <c r="I905" s="40">
        <f t="shared" si="101"/>
        <v>0</v>
      </c>
      <c r="J905" s="75"/>
      <c r="K905" s="68"/>
      <c r="L905" s="68"/>
      <c r="M905" s="69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</row>
    <row r="906" spans="1:29" ht="16.5" hidden="1">
      <c r="A906" s="81" t="s">
        <v>13</v>
      </c>
      <c r="B906" s="51">
        <v>841</v>
      </c>
      <c r="C906" s="52" t="s">
        <v>57</v>
      </c>
      <c r="D906" s="52" t="s">
        <v>807</v>
      </c>
      <c r="E906" s="52" t="s">
        <v>140</v>
      </c>
      <c r="F906" s="52" t="s">
        <v>572</v>
      </c>
      <c r="G906" s="40">
        <v>19724.2</v>
      </c>
      <c r="H906" s="40"/>
      <c r="I906" s="40"/>
      <c r="J906" s="75"/>
      <c r="K906" s="68"/>
      <c r="L906" s="68"/>
      <c r="M906" s="69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</row>
    <row r="907" spans="1:29" ht="16.5" hidden="1">
      <c r="A907" s="50" t="s">
        <v>510</v>
      </c>
      <c r="B907" s="51">
        <v>841</v>
      </c>
      <c r="C907" s="52" t="s">
        <v>57</v>
      </c>
      <c r="D907" s="52" t="s">
        <v>57</v>
      </c>
      <c r="E907" s="52"/>
      <c r="F907" s="52"/>
      <c r="G907" s="40">
        <f>G908</f>
        <v>0</v>
      </c>
      <c r="H907" s="40">
        <f aca="true" t="shared" si="102" ref="H907:I909">H908</f>
        <v>0</v>
      </c>
      <c r="I907" s="40">
        <f t="shared" si="102"/>
        <v>0</v>
      </c>
      <c r="J907" s="75"/>
      <c r="K907" s="68"/>
      <c r="L907" s="68"/>
      <c r="M907" s="69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</row>
    <row r="908" spans="1:29" ht="16.5" hidden="1">
      <c r="A908" s="82" t="s">
        <v>297</v>
      </c>
      <c r="B908" s="51">
        <v>841</v>
      </c>
      <c r="C908" s="52" t="s">
        <v>57</v>
      </c>
      <c r="D908" s="52" t="s">
        <v>57</v>
      </c>
      <c r="E908" s="52" t="s">
        <v>395</v>
      </c>
      <c r="F908" s="52"/>
      <c r="G908" s="40">
        <f>G909</f>
        <v>0</v>
      </c>
      <c r="H908" s="40">
        <f t="shared" si="102"/>
        <v>0</v>
      </c>
      <c r="I908" s="40">
        <f t="shared" si="102"/>
        <v>0</v>
      </c>
      <c r="J908" s="75"/>
      <c r="K908" s="68"/>
      <c r="L908" s="68"/>
      <c r="M908" s="69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</row>
    <row r="909" spans="1:29" ht="33" hidden="1">
      <c r="A909" s="81" t="s">
        <v>542</v>
      </c>
      <c r="B909" s="51">
        <v>841</v>
      </c>
      <c r="C909" s="52" t="s">
        <v>57</v>
      </c>
      <c r="D909" s="52" t="s">
        <v>57</v>
      </c>
      <c r="E909" s="52" t="s">
        <v>95</v>
      </c>
      <c r="F909" s="52"/>
      <c r="G909" s="40">
        <f>G910</f>
        <v>0</v>
      </c>
      <c r="H909" s="40">
        <f t="shared" si="102"/>
        <v>0</v>
      </c>
      <c r="I909" s="40">
        <f t="shared" si="102"/>
        <v>0</v>
      </c>
      <c r="J909" s="75"/>
      <c r="K909" s="68"/>
      <c r="L909" s="68"/>
      <c r="M909" s="69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</row>
    <row r="910" spans="1:29" ht="16.5" hidden="1">
      <c r="A910" s="50" t="s">
        <v>487</v>
      </c>
      <c r="B910" s="51">
        <v>841</v>
      </c>
      <c r="C910" s="52" t="s">
        <v>57</v>
      </c>
      <c r="D910" s="52" t="s">
        <v>57</v>
      </c>
      <c r="E910" s="52" t="s">
        <v>95</v>
      </c>
      <c r="F910" s="52" t="s">
        <v>277</v>
      </c>
      <c r="G910" s="40"/>
      <c r="H910" s="40"/>
      <c r="I910" s="40"/>
      <c r="J910" s="75"/>
      <c r="K910" s="68"/>
      <c r="L910" s="68"/>
      <c r="M910" s="69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</row>
    <row r="911" spans="1:29" s="89" customFormat="1" ht="16.5">
      <c r="A911" s="63" t="s">
        <v>113</v>
      </c>
      <c r="B911" s="51">
        <v>841</v>
      </c>
      <c r="C911" s="52"/>
      <c r="D911" s="52"/>
      <c r="E911" s="52"/>
      <c r="F911" s="52"/>
      <c r="G911" s="40">
        <f>G918+G980+G998+G1010+G974+G912</f>
        <v>720833.1000000001</v>
      </c>
      <c r="H911" s="40">
        <f>H918+H980+H998+H1010+H974+H912</f>
        <v>416152.8</v>
      </c>
      <c r="I911" s="40">
        <f>I918+I980+I998+I1010+I974+I912</f>
        <v>0</v>
      </c>
      <c r="J911" s="75"/>
      <c r="K911" s="68"/>
      <c r="L911" s="68"/>
      <c r="M911" s="69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</row>
    <row r="912" spans="1:13" s="68" customFormat="1" ht="16.5" hidden="1">
      <c r="A912" s="82" t="s">
        <v>432</v>
      </c>
      <c r="B912" s="51">
        <v>841</v>
      </c>
      <c r="C912" s="52" t="s">
        <v>810</v>
      </c>
      <c r="D912" s="52"/>
      <c r="E912" s="52"/>
      <c r="F912" s="52"/>
      <c r="G912" s="40">
        <f aca="true" t="shared" si="103" ref="G912:I916">G913</f>
        <v>12000</v>
      </c>
      <c r="H912" s="40">
        <f t="shared" si="103"/>
        <v>0</v>
      </c>
      <c r="I912" s="40">
        <f t="shared" si="103"/>
        <v>0</v>
      </c>
      <c r="J912" s="75"/>
      <c r="M912" s="69"/>
    </row>
    <row r="913" spans="1:13" s="68" customFormat="1" ht="16.5" hidden="1">
      <c r="A913" s="85" t="s">
        <v>360</v>
      </c>
      <c r="B913" s="51">
        <v>841</v>
      </c>
      <c r="C913" s="52" t="s">
        <v>810</v>
      </c>
      <c r="D913" s="52" t="s">
        <v>530</v>
      </c>
      <c r="E913" s="52"/>
      <c r="F913" s="52"/>
      <c r="G913" s="40">
        <f t="shared" si="103"/>
        <v>12000</v>
      </c>
      <c r="H913" s="40">
        <f t="shared" si="103"/>
        <v>0</v>
      </c>
      <c r="I913" s="40">
        <f t="shared" si="103"/>
        <v>0</v>
      </c>
      <c r="J913" s="75"/>
      <c r="M913" s="69"/>
    </row>
    <row r="914" spans="1:13" s="68" customFormat="1" ht="16.5" hidden="1">
      <c r="A914" s="81" t="s">
        <v>202</v>
      </c>
      <c r="B914" s="51">
        <v>841</v>
      </c>
      <c r="C914" s="52" t="s">
        <v>810</v>
      </c>
      <c r="D914" s="52" t="s">
        <v>530</v>
      </c>
      <c r="E914" s="52" t="s">
        <v>406</v>
      </c>
      <c r="F914" s="52"/>
      <c r="G914" s="40">
        <f t="shared" si="103"/>
        <v>12000</v>
      </c>
      <c r="H914" s="40">
        <f t="shared" si="103"/>
        <v>0</v>
      </c>
      <c r="I914" s="40">
        <f t="shared" si="103"/>
        <v>0</v>
      </c>
      <c r="J914" s="75"/>
      <c r="M914" s="69"/>
    </row>
    <row r="915" spans="1:13" s="68" customFormat="1" ht="16.5" hidden="1">
      <c r="A915" s="81" t="s">
        <v>791</v>
      </c>
      <c r="B915" s="51">
        <v>841</v>
      </c>
      <c r="C915" s="52" t="s">
        <v>810</v>
      </c>
      <c r="D915" s="52" t="s">
        <v>530</v>
      </c>
      <c r="E915" s="52" t="s">
        <v>817</v>
      </c>
      <c r="F915" s="52"/>
      <c r="G915" s="40">
        <f t="shared" si="103"/>
        <v>12000</v>
      </c>
      <c r="H915" s="40">
        <f t="shared" si="103"/>
        <v>0</v>
      </c>
      <c r="I915" s="40">
        <f t="shared" si="103"/>
        <v>0</v>
      </c>
      <c r="J915" s="75"/>
      <c r="M915" s="69"/>
    </row>
    <row r="916" spans="1:13" s="68" customFormat="1" ht="16.5" hidden="1">
      <c r="A916" s="81" t="s">
        <v>283</v>
      </c>
      <c r="B916" s="51">
        <v>841</v>
      </c>
      <c r="C916" s="52" t="s">
        <v>810</v>
      </c>
      <c r="D916" s="52" t="s">
        <v>530</v>
      </c>
      <c r="E916" s="52" t="s">
        <v>820</v>
      </c>
      <c r="F916" s="52"/>
      <c r="G916" s="40">
        <f t="shared" si="103"/>
        <v>12000</v>
      </c>
      <c r="H916" s="40">
        <f t="shared" si="103"/>
        <v>0</v>
      </c>
      <c r="I916" s="40">
        <f t="shared" si="103"/>
        <v>0</v>
      </c>
      <c r="J916" s="75"/>
      <c r="M916" s="69"/>
    </row>
    <row r="917" spans="1:13" s="68" customFormat="1" ht="16.5" hidden="1">
      <c r="A917" s="50" t="s">
        <v>206</v>
      </c>
      <c r="B917" s="51">
        <v>841</v>
      </c>
      <c r="C917" s="52" t="s">
        <v>810</v>
      </c>
      <c r="D917" s="52" t="s">
        <v>530</v>
      </c>
      <c r="E917" s="52" t="s">
        <v>820</v>
      </c>
      <c r="F917" s="52" t="s">
        <v>4</v>
      </c>
      <c r="G917" s="40">
        <f>10000+2000</f>
        <v>12000</v>
      </c>
      <c r="H917" s="40"/>
      <c r="I917" s="40"/>
      <c r="J917" s="75"/>
      <c r="M917" s="69"/>
    </row>
    <row r="918" spans="1:29" s="90" customFormat="1" ht="18.75" customHeight="1">
      <c r="A918" s="81" t="s">
        <v>404</v>
      </c>
      <c r="B918" s="51">
        <v>841</v>
      </c>
      <c r="C918" s="52" t="s">
        <v>818</v>
      </c>
      <c r="D918" s="52"/>
      <c r="E918" s="52"/>
      <c r="F918" s="52"/>
      <c r="G918" s="40">
        <f>G919+G932+G950</f>
        <v>595362.3</v>
      </c>
      <c r="H918" s="40">
        <f>H919+H932+H950</f>
        <v>416152.8</v>
      </c>
      <c r="I918" s="40">
        <f>I919+I932+I950</f>
        <v>0</v>
      </c>
      <c r="J918" s="75"/>
      <c r="K918" s="68"/>
      <c r="L918" s="68"/>
      <c r="M918" s="69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</row>
    <row r="919" spans="1:29" ht="18" customHeight="1" hidden="1">
      <c r="A919" s="85" t="s">
        <v>64</v>
      </c>
      <c r="B919" s="51">
        <v>841</v>
      </c>
      <c r="C919" s="52" t="s">
        <v>59</v>
      </c>
      <c r="D919" s="52" t="s">
        <v>807</v>
      </c>
      <c r="E919" s="52"/>
      <c r="F919" s="52"/>
      <c r="G919" s="40">
        <f>SUM(G920)</f>
        <v>0</v>
      </c>
      <c r="H919" s="40">
        <f>SUM(H920)</f>
        <v>0</v>
      </c>
      <c r="I919" s="40">
        <f>SUM(I920)</f>
        <v>0</v>
      </c>
      <c r="J919" s="75"/>
      <c r="K919" s="68"/>
      <c r="L919" s="68"/>
      <c r="M919" s="69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</row>
    <row r="920" spans="1:29" ht="18" customHeight="1" hidden="1">
      <c r="A920" s="81" t="s">
        <v>202</v>
      </c>
      <c r="B920" s="51">
        <v>841</v>
      </c>
      <c r="C920" s="52" t="s">
        <v>59</v>
      </c>
      <c r="D920" s="52" t="s">
        <v>807</v>
      </c>
      <c r="E920" s="52" t="s">
        <v>406</v>
      </c>
      <c r="F920" s="52"/>
      <c r="G920" s="40">
        <f>SUM(G925,G921)</f>
        <v>0</v>
      </c>
      <c r="H920" s="40">
        <f>SUM(H925,H921)</f>
        <v>0</v>
      </c>
      <c r="I920" s="40">
        <f>SUM(I925,I921)</f>
        <v>0</v>
      </c>
      <c r="J920" s="75"/>
      <c r="K920" s="68"/>
      <c r="L920" s="68"/>
      <c r="M920" s="69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</row>
    <row r="921" spans="1:29" ht="55.5" customHeight="1" hidden="1">
      <c r="A921" s="81" t="s">
        <v>74</v>
      </c>
      <c r="B921" s="51">
        <v>841</v>
      </c>
      <c r="C921" s="52" t="s">
        <v>59</v>
      </c>
      <c r="D921" s="52" t="s">
        <v>807</v>
      </c>
      <c r="E921" s="52" t="s">
        <v>71</v>
      </c>
      <c r="F921" s="52"/>
      <c r="G921" s="40">
        <f>G922</f>
        <v>0</v>
      </c>
      <c r="H921" s="40">
        <f>H922</f>
        <v>0</v>
      </c>
      <c r="I921" s="40">
        <f>I922</f>
        <v>0</v>
      </c>
      <c r="J921" s="75"/>
      <c r="K921" s="68"/>
      <c r="L921" s="68"/>
      <c r="M921" s="69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</row>
    <row r="922" spans="1:29" ht="35.25" customHeight="1" hidden="1">
      <c r="A922" s="81" t="s">
        <v>205</v>
      </c>
      <c r="B922" s="51">
        <v>841</v>
      </c>
      <c r="C922" s="52" t="s">
        <v>59</v>
      </c>
      <c r="D922" s="52" t="s">
        <v>807</v>
      </c>
      <c r="E922" s="52" t="s">
        <v>408</v>
      </c>
      <c r="F922" s="52"/>
      <c r="G922" s="40">
        <f>SUM(G923:G924)</f>
        <v>0</v>
      </c>
      <c r="H922" s="40">
        <f>SUM(H923:H924)</f>
        <v>0</v>
      </c>
      <c r="I922" s="40">
        <f>SUM(I923:I924)</f>
        <v>0</v>
      </c>
      <c r="J922" s="75"/>
      <c r="K922" s="68"/>
      <c r="L922" s="68"/>
      <c r="M922" s="69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</row>
    <row r="923" spans="1:29" ht="21" customHeight="1" hidden="1">
      <c r="A923" s="81" t="s">
        <v>262</v>
      </c>
      <c r="B923" s="51">
        <v>841</v>
      </c>
      <c r="C923" s="52" t="s">
        <v>59</v>
      </c>
      <c r="D923" s="52" t="s">
        <v>807</v>
      </c>
      <c r="E923" s="52" t="s">
        <v>408</v>
      </c>
      <c r="F923" s="52" t="s">
        <v>76</v>
      </c>
      <c r="G923" s="40"/>
      <c r="H923" s="40"/>
      <c r="I923" s="40"/>
      <c r="J923" s="75"/>
      <c r="K923" s="68"/>
      <c r="L923" s="68"/>
      <c r="M923" s="69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</row>
    <row r="924" spans="1:29" ht="18.75" customHeight="1" hidden="1">
      <c r="A924" s="81" t="s">
        <v>339</v>
      </c>
      <c r="B924" s="51">
        <v>841</v>
      </c>
      <c r="C924" s="52" t="s">
        <v>59</v>
      </c>
      <c r="D924" s="52" t="s">
        <v>807</v>
      </c>
      <c r="E924" s="52" t="s">
        <v>408</v>
      </c>
      <c r="F924" s="52" t="s">
        <v>78</v>
      </c>
      <c r="G924" s="40"/>
      <c r="H924" s="40"/>
      <c r="I924" s="40"/>
      <c r="J924" s="75"/>
      <c r="K924" s="68"/>
      <c r="L924" s="68"/>
      <c r="M924" s="69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</row>
    <row r="925" spans="1:29" ht="18" customHeight="1" hidden="1">
      <c r="A925" s="81" t="s">
        <v>791</v>
      </c>
      <c r="B925" s="51">
        <v>841</v>
      </c>
      <c r="C925" s="52" t="s">
        <v>59</v>
      </c>
      <c r="D925" s="52" t="s">
        <v>807</v>
      </c>
      <c r="E925" s="52" t="s">
        <v>817</v>
      </c>
      <c r="F925" s="52"/>
      <c r="G925" s="40">
        <f aca="true" t="shared" si="104" ref="G925:I926">SUM(G926)</f>
        <v>0</v>
      </c>
      <c r="H925" s="40">
        <f t="shared" si="104"/>
        <v>0</v>
      </c>
      <c r="I925" s="40">
        <f t="shared" si="104"/>
        <v>0</v>
      </c>
      <c r="J925" s="75"/>
      <c r="K925" s="68"/>
      <c r="L925" s="68"/>
      <c r="M925" s="69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</row>
    <row r="926" spans="1:29" ht="18.75" customHeight="1" hidden="1">
      <c r="A926" s="81" t="s">
        <v>263</v>
      </c>
      <c r="B926" s="51">
        <v>841</v>
      </c>
      <c r="C926" s="52" t="s">
        <v>59</v>
      </c>
      <c r="D926" s="52" t="s">
        <v>807</v>
      </c>
      <c r="E926" s="52" t="s">
        <v>819</v>
      </c>
      <c r="F926" s="52"/>
      <c r="G926" s="40">
        <f t="shared" si="104"/>
        <v>0</v>
      </c>
      <c r="H926" s="40">
        <f t="shared" si="104"/>
        <v>0</v>
      </c>
      <c r="I926" s="40">
        <f t="shared" si="104"/>
        <v>0</v>
      </c>
      <c r="J926" s="75"/>
      <c r="K926" s="68"/>
      <c r="L926" s="68"/>
      <c r="M926" s="69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</row>
    <row r="927" spans="1:29" ht="16.5" hidden="1">
      <c r="A927" s="50" t="s">
        <v>206</v>
      </c>
      <c r="B927" s="51">
        <v>841</v>
      </c>
      <c r="C927" s="52" t="s">
        <v>59</v>
      </c>
      <c r="D927" s="52" t="s">
        <v>807</v>
      </c>
      <c r="E927" s="52" t="s">
        <v>819</v>
      </c>
      <c r="F927" s="52" t="s">
        <v>4</v>
      </c>
      <c r="G927" s="40"/>
      <c r="H927" s="40"/>
      <c r="I927" s="40"/>
      <c r="J927" s="75"/>
      <c r="K927" s="68"/>
      <c r="L927" s="68"/>
      <c r="M927" s="69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</row>
    <row r="928" spans="1:29" ht="16.5" hidden="1">
      <c r="A928" s="50" t="s">
        <v>169</v>
      </c>
      <c r="B928" s="51">
        <v>841</v>
      </c>
      <c r="C928" s="52" t="s">
        <v>59</v>
      </c>
      <c r="D928" s="52" t="s">
        <v>807</v>
      </c>
      <c r="E928" s="52"/>
      <c r="F928" s="52"/>
      <c r="G928" s="40">
        <f aca="true" t="shared" si="105" ref="G928:I929">SUM(G929)</f>
        <v>0</v>
      </c>
      <c r="H928" s="40">
        <f t="shared" si="105"/>
        <v>0</v>
      </c>
      <c r="I928" s="40">
        <f t="shared" si="105"/>
        <v>0</v>
      </c>
      <c r="J928" s="75"/>
      <c r="K928" s="68"/>
      <c r="L928" s="68"/>
      <c r="M928" s="69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</row>
    <row r="929" spans="1:29" ht="16.5" hidden="1">
      <c r="A929" s="81" t="s">
        <v>202</v>
      </c>
      <c r="B929" s="51">
        <v>841</v>
      </c>
      <c r="C929" s="52" t="s">
        <v>59</v>
      </c>
      <c r="D929" s="52" t="s">
        <v>807</v>
      </c>
      <c r="E929" s="52" t="s">
        <v>406</v>
      </c>
      <c r="F929" s="52"/>
      <c r="G929" s="40">
        <f t="shared" si="105"/>
        <v>0</v>
      </c>
      <c r="H929" s="40">
        <f t="shared" si="105"/>
        <v>0</v>
      </c>
      <c r="I929" s="40">
        <f t="shared" si="105"/>
        <v>0</v>
      </c>
      <c r="J929" s="75"/>
      <c r="K929" s="68"/>
      <c r="L929" s="68"/>
      <c r="M929" s="69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</row>
    <row r="930" spans="1:29" ht="16.5" hidden="1">
      <c r="A930" s="81" t="s">
        <v>769</v>
      </c>
      <c r="B930" s="51">
        <v>841</v>
      </c>
      <c r="C930" s="52" t="s">
        <v>59</v>
      </c>
      <c r="D930" s="52" t="s">
        <v>807</v>
      </c>
      <c r="E930" s="52" t="s">
        <v>817</v>
      </c>
      <c r="F930" s="52"/>
      <c r="G930" s="40">
        <f>G931</f>
        <v>0</v>
      </c>
      <c r="H930" s="40">
        <f>H931</f>
        <v>0</v>
      </c>
      <c r="I930" s="40">
        <f>I931</f>
        <v>0</v>
      </c>
      <c r="J930" s="75"/>
      <c r="K930" s="68"/>
      <c r="L930" s="68"/>
      <c r="M930" s="69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</row>
    <row r="931" spans="1:29" ht="16.5" hidden="1">
      <c r="A931" s="81" t="s">
        <v>283</v>
      </c>
      <c r="B931" s="51">
        <v>841</v>
      </c>
      <c r="C931" s="52" t="s">
        <v>59</v>
      </c>
      <c r="D931" s="52" t="s">
        <v>807</v>
      </c>
      <c r="E931" s="52" t="s">
        <v>820</v>
      </c>
      <c r="F931" s="52" t="s">
        <v>4</v>
      </c>
      <c r="G931" s="40"/>
      <c r="H931" s="40"/>
      <c r="I931" s="40"/>
      <c r="J931" s="75"/>
      <c r="K931" s="68"/>
      <c r="L931" s="68"/>
      <c r="M931" s="69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</row>
    <row r="932" spans="1:29" ht="18.75" customHeight="1" hidden="1">
      <c r="A932" s="50" t="s">
        <v>130</v>
      </c>
      <c r="B932" s="51">
        <v>841</v>
      </c>
      <c r="C932" s="52" t="s">
        <v>59</v>
      </c>
      <c r="D932" s="52" t="s">
        <v>808</v>
      </c>
      <c r="E932" s="52"/>
      <c r="F932" s="52"/>
      <c r="G932" s="40">
        <f>SUM(G933)</f>
        <v>30000</v>
      </c>
      <c r="H932" s="40">
        <f>SUM(H933)</f>
        <v>0</v>
      </c>
      <c r="I932" s="40">
        <f>SUM(I933)</f>
        <v>0</v>
      </c>
      <c r="J932" s="75"/>
      <c r="K932" s="68"/>
      <c r="L932" s="68"/>
      <c r="M932" s="69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</row>
    <row r="933" spans="1:29" ht="19.5" customHeight="1" hidden="1">
      <c r="A933" s="81" t="s">
        <v>202</v>
      </c>
      <c r="B933" s="51">
        <v>841</v>
      </c>
      <c r="C933" s="52" t="s">
        <v>59</v>
      </c>
      <c r="D933" s="52" t="s">
        <v>808</v>
      </c>
      <c r="E933" s="52" t="s">
        <v>406</v>
      </c>
      <c r="F933" s="52"/>
      <c r="G933" s="40">
        <f>SUM(G937,G934)</f>
        <v>30000</v>
      </c>
      <c r="H933" s="40">
        <f>SUM(H937,H934)</f>
        <v>0</v>
      </c>
      <c r="I933" s="40">
        <f>SUM(I937,I934)</f>
        <v>0</v>
      </c>
      <c r="J933" s="75"/>
      <c r="K933" s="68"/>
      <c r="L933" s="68"/>
      <c r="M933" s="69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</row>
    <row r="934" spans="1:29" ht="51" customHeight="1" hidden="1">
      <c r="A934" s="81" t="s">
        <v>74</v>
      </c>
      <c r="B934" s="51">
        <v>841</v>
      </c>
      <c r="C934" s="52" t="s">
        <v>59</v>
      </c>
      <c r="D934" s="52" t="s">
        <v>808</v>
      </c>
      <c r="E934" s="52" t="s">
        <v>71</v>
      </c>
      <c r="F934" s="52"/>
      <c r="G934" s="40">
        <f aca="true" t="shared" si="106" ref="G934:I935">SUM(G935)</f>
        <v>0</v>
      </c>
      <c r="H934" s="40">
        <f t="shared" si="106"/>
        <v>0</v>
      </c>
      <c r="I934" s="40">
        <f t="shared" si="106"/>
        <v>0</v>
      </c>
      <c r="J934" s="75"/>
      <c r="K934" s="68"/>
      <c r="L934" s="68"/>
      <c r="M934" s="69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</row>
    <row r="935" spans="1:29" ht="36.75" customHeight="1" hidden="1">
      <c r="A935" s="81" t="s">
        <v>407</v>
      </c>
      <c r="B935" s="51">
        <v>841</v>
      </c>
      <c r="C935" s="52" t="s">
        <v>59</v>
      </c>
      <c r="D935" s="52" t="s">
        <v>808</v>
      </c>
      <c r="E935" s="52" t="s">
        <v>408</v>
      </c>
      <c r="F935" s="52"/>
      <c r="G935" s="40">
        <f t="shared" si="106"/>
        <v>0</v>
      </c>
      <c r="H935" s="40">
        <f t="shared" si="106"/>
        <v>0</v>
      </c>
      <c r="I935" s="40">
        <f t="shared" si="106"/>
        <v>0</v>
      </c>
      <c r="J935" s="75"/>
      <c r="K935" s="68"/>
      <c r="L935" s="68"/>
      <c r="M935" s="69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</row>
    <row r="936" spans="1:29" ht="19.5" customHeight="1" hidden="1">
      <c r="A936" s="50" t="s">
        <v>603</v>
      </c>
      <c r="B936" s="51">
        <v>841</v>
      </c>
      <c r="C936" s="52" t="s">
        <v>59</v>
      </c>
      <c r="D936" s="52" t="s">
        <v>808</v>
      </c>
      <c r="E936" s="116" t="s">
        <v>79</v>
      </c>
      <c r="F936" s="52" t="s">
        <v>80</v>
      </c>
      <c r="G936" s="40"/>
      <c r="H936" s="40"/>
      <c r="I936" s="40"/>
      <c r="J936" s="75"/>
      <c r="K936" s="68"/>
      <c r="L936" s="68"/>
      <c r="M936" s="69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</row>
    <row r="937" spans="1:29" ht="18.75" customHeight="1" hidden="1">
      <c r="A937" s="81" t="s">
        <v>791</v>
      </c>
      <c r="B937" s="51">
        <v>841</v>
      </c>
      <c r="C937" s="52" t="s">
        <v>59</v>
      </c>
      <c r="D937" s="52" t="s">
        <v>808</v>
      </c>
      <c r="E937" s="52" t="s">
        <v>817</v>
      </c>
      <c r="F937" s="52"/>
      <c r="G937" s="40">
        <f>SUM(G938,G940,G944,G946,G942)</f>
        <v>30000</v>
      </c>
      <c r="H937" s="40">
        <f>SUM(H938,H940,H944,H946,H942)</f>
        <v>0</v>
      </c>
      <c r="I937" s="40">
        <f>SUM(I938,I940,I944,I946,I942)</f>
        <v>0</v>
      </c>
      <c r="J937" s="75"/>
      <c r="K937" s="68"/>
      <c r="L937" s="68"/>
      <c r="M937" s="69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</row>
    <row r="938" spans="1:29" ht="18" customHeight="1" hidden="1">
      <c r="A938" s="81" t="s">
        <v>283</v>
      </c>
      <c r="B938" s="51">
        <v>841</v>
      </c>
      <c r="C938" s="52" t="s">
        <v>59</v>
      </c>
      <c r="D938" s="52" t="s">
        <v>808</v>
      </c>
      <c r="E938" s="52" t="s">
        <v>820</v>
      </c>
      <c r="F938" s="52"/>
      <c r="G938" s="40">
        <f>SUM(G939)</f>
        <v>10000</v>
      </c>
      <c r="H938" s="40">
        <f>SUM(H939)</f>
        <v>0</v>
      </c>
      <c r="I938" s="40">
        <f>SUM(I939)</f>
        <v>0</v>
      </c>
      <c r="J938" s="75"/>
      <c r="K938" s="68"/>
      <c r="L938" s="68"/>
      <c r="M938" s="69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</row>
    <row r="939" spans="1:29" ht="16.5" hidden="1">
      <c r="A939" s="50" t="s">
        <v>206</v>
      </c>
      <c r="B939" s="51">
        <v>841</v>
      </c>
      <c r="C939" s="52" t="s">
        <v>59</v>
      </c>
      <c r="D939" s="52" t="s">
        <v>808</v>
      </c>
      <c r="E939" s="52" t="s">
        <v>820</v>
      </c>
      <c r="F939" s="52" t="s">
        <v>4</v>
      </c>
      <c r="G939" s="40">
        <f>4500+5000+500</f>
        <v>10000</v>
      </c>
      <c r="H939" s="40"/>
      <c r="I939" s="40"/>
      <c r="J939" s="75"/>
      <c r="K939" s="68"/>
      <c r="L939" s="68"/>
      <c r="M939" s="69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</row>
    <row r="940" spans="1:29" ht="18" customHeight="1" hidden="1">
      <c r="A940" s="50" t="s">
        <v>771</v>
      </c>
      <c r="B940" s="51">
        <v>841</v>
      </c>
      <c r="C940" s="52" t="s">
        <v>59</v>
      </c>
      <c r="D940" s="52" t="s">
        <v>238</v>
      </c>
      <c r="E940" s="52" t="s">
        <v>821</v>
      </c>
      <c r="F940" s="52"/>
      <c r="G940" s="40">
        <f>SUM(G941)</f>
        <v>0</v>
      </c>
      <c r="H940" s="40">
        <f>SUM(H941)</f>
        <v>0</v>
      </c>
      <c r="I940" s="40">
        <f>SUM(I941)</f>
        <v>0</v>
      </c>
      <c r="J940" s="75"/>
      <c r="K940" s="68"/>
      <c r="L940" s="68"/>
      <c r="M940" s="69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</row>
    <row r="941" spans="1:29" ht="18.75" customHeight="1" hidden="1">
      <c r="A941" s="50" t="s">
        <v>206</v>
      </c>
      <c r="B941" s="51">
        <v>841</v>
      </c>
      <c r="C941" s="52" t="s">
        <v>59</v>
      </c>
      <c r="D941" s="52" t="s">
        <v>808</v>
      </c>
      <c r="E941" s="52" t="s">
        <v>821</v>
      </c>
      <c r="F941" s="52" t="s">
        <v>4</v>
      </c>
      <c r="G941" s="40"/>
      <c r="H941" s="40"/>
      <c r="I941" s="40"/>
      <c r="J941" s="75"/>
      <c r="K941" s="68"/>
      <c r="L941" s="68"/>
      <c r="M941" s="69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</row>
    <row r="942" spans="1:29" ht="18.75" customHeight="1" hidden="1">
      <c r="A942" s="50" t="s">
        <v>771</v>
      </c>
      <c r="B942" s="51">
        <v>841</v>
      </c>
      <c r="C942" s="52" t="s">
        <v>59</v>
      </c>
      <c r="D942" s="52" t="s">
        <v>808</v>
      </c>
      <c r="E942" s="52" t="s">
        <v>821</v>
      </c>
      <c r="F942" s="52"/>
      <c r="G942" s="40">
        <f>G943</f>
        <v>0</v>
      </c>
      <c r="H942" s="40">
        <f>H943</f>
        <v>0</v>
      </c>
      <c r="I942" s="40">
        <f>I943</f>
        <v>0</v>
      </c>
      <c r="J942" s="75"/>
      <c r="K942" s="68"/>
      <c r="L942" s="68"/>
      <c r="M942" s="69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</row>
    <row r="943" spans="1:29" ht="18.75" customHeight="1" hidden="1">
      <c r="A943" s="50" t="s">
        <v>206</v>
      </c>
      <c r="B943" s="51">
        <v>841</v>
      </c>
      <c r="C943" s="52" t="s">
        <v>59</v>
      </c>
      <c r="D943" s="52" t="s">
        <v>808</v>
      </c>
      <c r="E943" s="52" t="s">
        <v>821</v>
      </c>
      <c r="F943" s="52" t="s">
        <v>4</v>
      </c>
      <c r="G943" s="40"/>
      <c r="H943" s="40"/>
      <c r="I943" s="40"/>
      <c r="J943" s="75"/>
      <c r="K943" s="68"/>
      <c r="L943" s="68"/>
      <c r="M943" s="69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</row>
    <row r="944" spans="1:29" ht="17.25" customHeight="1" hidden="1">
      <c r="A944" s="50" t="s">
        <v>310</v>
      </c>
      <c r="B944" s="51">
        <v>841</v>
      </c>
      <c r="C944" s="52" t="s">
        <v>59</v>
      </c>
      <c r="D944" s="52" t="s">
        <v>808</v>
      </c>
      <c r="E944" s="52" t="s">
        <v>264</v>
      </c>
      <c r="F944" s="52"/>
      <c r="G944" s="40">
        <f>SUM(G945)</f>
        <v>0</v>
      </c>
      <c r="H944" s="40">
        <f>SUM(H945)</f>
        <v>0</v>
      </c>
      <c r="I944" s="40">
        <f>SUM(I945)</f>
        <v>0</v>
      </c>
      <c r="J944" s="75"/>
      <c r="K944" s="68"/>
      <c r="L944" s="68"/>
      <c r="M944" s="69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</row>
    <row r="945" spans="1:29" ht="16.5" customHeight="1" hidden="1">
      <c r="A945" s="50" t="s">
        <v>206</v>
      </c>
      <c r="B945" s="51">
        <v>841</v>
      </c>
      <c r="C945" s="52" t="s">
        <v>59</v>
      </c>
      <c r="D945" s="52" t="s">
        <v>808</v>
      </c>
      <c r="E945" s="52" t="s">
        <v>264</v>
      </c>
      <c r="F945" s="52" t="s">
        <v>4</v>
      </c>
      <c r="G945" s="40"/>
      <c r="H945" s="40"/>
      <c r="I945" s="40"/>
      <c r="J945" s="75"/>
      <c r="K945" s="68"/>
      <c r="L945" s="68"/>
      <c r="M945" s="69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</row>
    <row r="946" spans="1:29" ht="19.5" customHeight="1" hidden="1">
      <c r="A946" s="50" t="s">
        <v>116</v>
      </c>
      <c r="B946" s="51">
        <v>841</v>
      </c>
      <c r="C946" s="52" t="s">
        <v>59</v>
      </c>
      <c r="D946" s="52" t="s">
        <v>808</v>
      </c>
      <c r="E946" s="52" t="s">
        <v>265</v>
      </c>
      <c r="F946" s="52"/>
      <c r="G946" s="40">
        <f>SUM(G947)</f>
        <v>20000</v>
      </c>
      <c r="H946" s="40">
        <f>SUM(H947)</f>
        <v>0</v>
      </c>
      <c r="I946" s="40">
        <f>SUM(I947)</f>
        <v>0</v>
      </c>
      <c r="J946" s="75"/>
      <c r="K946" s="68"/>
      <c r="L946" s="68"/>
      <c r="M946" s="69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</row>
    <row r="947" spans="1:29" ht="16.5" customHeight="1" hidden="1">
      <c r="A947" s="50" t="s">
        <v>206</v>
      </c>
      <c r="B947" s="51">
        <v>841</v>
      </c>
      <c r="C947" s="52" t="s">
        <v>59</v>
      </c>
      <c r="D947" s="52" t="s">
        <v>808</v>
      </c>
      <c r="E947" s="52" t="s">
        <v>265</v>
      </c>
      <c r="F947" s="52" t="s">
        <v>4</v>
      </c>
      <c r="G947" s="40">
        <v>20000</v>
      </c>
      <c r="H947" s="40"/>
      <c r="I947" s="40"/>
      <c r="J947" s="75"/>
      <c r="K947" s="68"/>
      <c r="L947" s="68"/>
      <c r="M947" s="69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</row>
    <row r="948" spans="1:29" ht="16.5" customHeight="1" hidden="1">
      <c r="A948" s="50" t="s">
        <v>311</v>
      </c>
      <c r="B948" s="51">
        <v>841</v>
      </c>
      <c r="C948" s="52" t="s">
        <v>59</v>
      </c>
      <c r="D948" s="52" t="s">
        <v>808</v>
      </c>
      <c r="E948" s="52" t="s">
        <v>312</v>
      </c>
      <c r="F948" s="52"/>
      <c r="G948" s="40"/>
      <c r="H948" s="40"/>
      <c r="I948" s="40"/>
      <c r="J948" s="75"/>
      <c r="K948" s="68"/>
      <c r="L948" s="68"/>
      <c r="M948" s="69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</row>
    <row r="949" spans="1:29" ht="16.5" customHeight="1" hidden="1">
      <c r="A949" s="50" t="s">
        <v>206</v>
      </c>
      <c r="B949" s="51">
        <v>841</v>
      </c>
      <c r="C949" s="52" t="s">
        <v>59</v>
      </c>
      <c r="D949" s="52" t="s">
        <v>808</v>
      </c>
      <c r="E949" s="52" t="s">
        <v>312</v>
      </c>
      <c r="F949" s="52" t="s">
        <v>4</v>
      </c>
      <c r="G949" s="40"/>
      <c r="H949" s="40"/>
      <c r="I949" s="40"/>
      <c r="J949" s="75"/>
      <c r="K949" s="68"/>
      <c r="L949" s="68"/>
      <c r="M949" s="69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</row>
    <row r="950" spans="1:29" ht="18" customHeight="1">
      <c r="A950" s="50" t="s">
        <v>129</v>
      </c>
      <c r="B950" s="51">
        <v>841</v>
      </c>
      <c r="C950" s="52" t="s">
        <v>59</v>
      </c>
      <c r="D950" s="52" t="s">
        <v>809</v>
      </c>
      <c r="E950" s="52"/>
      <c r="F950" s="52"/>
      <c r="G950" s="40">
        <f>SUM(G951,G971)</f>
        <v>565362.3</v>
      </c>
      <c r="H950" s="40">
        <f>SUM(H951,H971)</f>
        <v>416152.8</v>
      </c>
      <c r="I950" s="40">
        <f>SUM(I951,I971)</f>
        <v>0</v>
      </c>
      <c r="J950" s="75"/>
      <c r="K950" s="68"/>
      <c r="L950" s="68"/>
      <c r="M950" s="69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</row>
    <row r="951" spans="1:29" ht="18" customHeight="1" hidden="1">
      <c r="A951" s="81" t="s">
        <v>822</v>
      </c>
      <c r="B951" s="51">
        <v>841</v>
      </c>
      <c r="C951" s="52" t="s">
        <v>59</v>
      </c>
      <c r="D951" s="52" t="s">
        <v>809</v>
      </c>
      <c r="E951" s="52" t="s">
        <v>406</v>
      </c>
      <c r="F951" s="52"/>
      <c r="G951" s="40">
        <f>G952+G958</f>
        <v>410638</v>
      </c>
      <c r="H951" s="40">
        <f>H952+H958</f>
        <v>0</v>
      </c>
      <c r="I951" s="40">
        <f>I952+I958</f>
        <v>0</v>
      </c>
      <c r="J951" s="75"/>
      <c r="K951" s="68"/>
      <c r="L951" s="68"/>
      <c r="M951" s="69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</row>
    <row r="952" spans="1:29" ht="51.75" customHeight="1" hidden="1">
      <c r="A952" s="81" t="s">
        <v>74</v>
      </c>
      <c r="B952" s="51">
        <v>841</v>
      </c>
      <c r="C952" s="52" t="s">
        <v>59</v>
      </c>
      <c r="D952" s="52" t="s">
        <v>809</v>
      </c>
      <c r="E952" s="52" t="s">
        <v>71</v>
      </c>
      <c r="F952" s="52"/>
      <c r="G952" s="40">
        <f>SUM(G953)</f>
        <v>0</v>
      </c>
      <c r="H952" s="40">
        <f>SUM(H953)</f>
        <v>0</v>
      </c>
      <c r="I952" s="40">
        <f>SUM(I953)</f>
        <v>0</v>
      </c>
      <c r="J952" s="75"/>
      <c r="K952" s="68"/>
      <c r="L952" s="68"/>
      <c r="M952" s="69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</row>
    <row r="953" spans="1:29" ht="35.25" customHeight="1" hidden="1">
      <c r="A953" s="81" t="s">
        <v>407</v>
      </c>
      <c r="B953" s="51">
        <v>841</v>
      </c>
      <c r="C953" s="52" t="s">
        <v>59</v>
      </c>
      <c r="D953" s="52" t="s">
        <v>809</v>
      </c>
      <c r="E953" s="52" t="s">
        <v>408</v>
      </c>
      <c r="F953" s="52"/>
      <c r="G953" s="40">
        <f>SUM(G954:G957)</f>
        <v>0</v>
      </c>
      <c r="H953" s="40">
        <f>SUM(H954:H957)</f>
        <v>0</v>
      </c>
      <c r="I953" s="40">
        <f>SUM(I954:I957)</f>
        <v>0</v>
      </c>
      <c r="J953" s="75"/>
      <c r="K953" s="68"/>
      <c r="L953" s="68"/>
      <c r="M953" s="69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</row>
    <row r="954" spans="1:29" ht="33" hidden="1">
      <c r="A954" s="81" t="s">
        <v>778</v>
      </c>
      <c r="B954" s="51">
        <v>841</v>
      </c>
      <c r="C954" s="52" t="s">
        <v>59</v>
      </c>
      <c r="D954" s="52" t="s">
        <v>809</v>
      </c>
      <c r="E954" s="52" t="s">
        <v>408</v>
      </c>
      <c r="F954" s="52" t="s">
        <v>81</v>
      </c>
      <c r="G954" s="40"/>
      <c r="H954" s="40"/>
      <c r="I954" s="40"/>
      <c r="J954" s="75"/>
      <c r="K954" s="68"/>
      <c r="L954" s="68"/>
      <c r="M954" s="69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</row>
    <row r="955" spans="1:29" ht="36.75" customHeight="1" hidden="1">
      <c r="A955" s="81" t="s">
        <v>242</v>
      </c>
      <c r="B955" s="51">
        <v>841</v>
      </c>
      <c r="C955" s="52" t="s">
        <v>59</v>
      </c>
      <c r="D955" s="52" t="s">
        <v>809</v>
      </c>
      <c r="E955" s="52" t="s">
        <v>408</v>
      </c>
      <c r="F955" s="52" t="s">
        <v>82</v>
      </c>
      <c r="G955" s="40"/>
      <c r="H955" s="40"/>
      <c r="I955" s="40"/>
      <c r="J955" s="75"/>
      <c r="K955" s="68"/>
      <c r="L955" s="68"/>
      <c r="M955" s="69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</row>
    <row r="956" spans="1:29" ht="21.75" customHeight="1" hidden="1">
      <c r="A956" s="81" t="s">
        <v>779</v>
      </c>
      <c r="B956" s="51">
        <v>841</v>
      </c>
      <c r="C956" s="52" t="s">
        <v>59</v>
      </c>
      <c r="D956" s="52" t="s">
        <v>809</v>
      </c>
      <c r="E956" s="52" t="s">
        <v>408</v>
      </c>
      <c r="F956" s="52" t="s">
        <v>83</v>
      </c>
      <c r="G956" s="40"/>
      <c r="H956" s="40"/>
      <c r="I956" s="40"/>
      <c r="J956" s="75"/>
      <c r="K956" s="68"/>
      <c r="L956" s="68"/>
      <c r="M956" s="69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</row>
    <row r="957" spans="1:29" ht="36.75" customHeight="1" hidden="1">
      <c r="A957" s="81" t="s">
        <v>308</v>
      </c>
      <c r="B957" s="51">
        <v>841</v>
      </c>
      <c r="C957" s="52" t="s">
        <v>59</v>
      </c>
      <c r="D957" s="52" t="s">
        <v>809</v>
      </c>
      <c r="E957" s="52" t="s">
        <v>408</v>
      </c>
      <c r="F957" s="52" t="s">
        <v>84</v>
      </c>
      <c r="G957" s="40"/>
      <c r="H957" s="40"/>
      <c r="I957" s="40"/>
      <c r="J957" s="75"/>
      <c r="K957" s="68"/>
      <c r="L957" s="68"/>
      <c r="M957" s="69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</row>
    <row r="958" spans="1:29" ht="18" customHeight="1" hidden="1">
      <c r="A958" s="81" t="s">
        <v>791</v>
      </c>
      <c r="B958" s="51">
        <v>841</v>
      </c>
      <c r="C958" s="52" t="s">
        <v>59</v>
      </c>
      <c r="D958" s="52" t="s">
        <v>809</v>
      </c>
      <c r="E958" s="52" t="s">
        <v>817</v>
      </c>
      <c r="F958" s="52"/>
      <c r="G958" s="40">
        <f>G959+G961+G963+G965+G967+G969</f>
        <v>410638</v>
      </c>
      <c r="H958" s="40">
        <f>H959+H961+H963+H965+H967+H969</f>
        <v>0</v>
      </c>
      <c r="I958" s="40">
        <f>I959+I961+I963+I965+I967+I969</f>
        <v>0</v>
      </c>
      <c r="J958" s="75"/>
      <c r="K958" s="68"/>
      <c r="L958" s="68"/>
      <c r="M958" s="69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</row>
    <row r="959" spans="1:29" ht="18" customHeight="1" hidden="1">
      <c r="A959" s="81" t="s">
        <v>283</v>
      </c>
      <c r="B959" s="51">
        <v>841</v>
      </c>
      <c r="C959" s="52" t="s">
        <v>59</v>
      </c>
      <c r="D959" s="52" t="s">
        <v>809</v>
      </c>
      <c r="E959" s="52" t="s">
        <v>820</v>
      </c>
      <c r="F959" s="52"/>
      <c r="G959" s="40">
        <f>SUM(G960)</f>
        <v>266651.3</v>
      </c>
      <c r="H959" s="40">
        <f>SUM(H960)</f>
        <v>0</v>
      </c>
      <c r="I959" s="40">
        <f>SUM(I960)</f>
        <v>0</v>
      </c>
      <c r="J959" s="75"/>
      <c r="K959" s="68"/>
      <c r="L959" s="68"/>
      <c r="M959" s="69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</row>
    <row r="960" spans="1:29" ht="16.5" hidden="1">
      <c r="A960" s="50" t="s">
        <v>206</v>
      </c>
      <c r="B960" s="51">
        <v>841</v>
      </c>
      <c r="C960" s="52" t="s">
        <v>59</v>
      </c>
      <c r="D960" s="52" t="s">
        <v>809</v>
      </c>
      <c r="E960" s="52" t="s">
        <v>820</v>
      </c>
      <c r="F960" s="52" t="s">
        <v>4</v>
      </c>
      <c r="G960" s="40">
        <f>39703.3+99925+22000+50000+8000+10000+6200+11723+10000+1000+600+1200+220+446+800+2334+2500</f>
        <v>266651.3</v>
      </c>
      <c r="H960" s="40"/>
      <c r="I960" s="40"/>
      <c r="J960" s="75"/>
      <c r="K960" s="68"/>
      <c r="L960" s="68"/>
      <c r="M960" s="69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</row>
    <row r="961" spans="1:29" ht="34.5" customHeight="1" hidden="1">
      <c r="A961" s="81" t="s">
        <v>287</v>
      </c>
      <c r="B961" s="51">
        <v>841</v>
      </c>
      <c r="C961" s="52" t="s">
        <v>59</v>
      </c>
      <c r="D961" s="52" t="s">
        <v>809</v>
      </c>
      <c r="E961" s="52" t="s">
        <v>823</v>
      </c>
      <c r="F961" s="52"/>
      <c r="G961" s="40">
        <f>SUM(G962)</f>
        <v>100000</v>
      </c>
      <c r="H961" s="40">
        <f>SUM(H962)</f>
        <v>0</v>
      </c>
      <c r="I961" s="40">
        <f>SUM(I962)</f>
        <v>0</v>
      </c>
      <c r="J961" s="75"/>
      <c r="K961" s="68"/>
      <c r="L961" s="68"/>
      <c r="M961" s="69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</row>
    <row r="962" spans="1:29" ht="16.5" hidden="1">
      <c r="A962" s="50" t="s">
        <v>206</v>
      </c>
      <c r="B962" s="51">
        <v>841</v>
      </c>
      <c r="C962" s="52" t="s">
        <v>59</v>
      </c>
      <c r="D962" s="52" t="s">
        <v>809</v>
      </c>
      <c r="E962" s="52" t="s">
        <v>823</v>
      </c>
      <c r="F962" s="52" t="s">
        <v>4</v>
      </c>
      <c r="G962" s="40">
        <v>100000</v>
      </c>
      <c r="H962" s="40"/>
      <c r="I962" s="40"/>
      <c r="J962" s="75"/>
      <c r="K962" s="68"/>
      <c r="L962" s="68"/>
      <c r="M962" s="69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</row>
    <row r="963" spans="1:29" ht="16.5" hidden="1">
      <c r="A963" s="50" t="s">
        <v>307</v>
      </c>
      <c r="B963" s="51">
        <v>841</v>
      </c>
      <c r="C963" s="52" t="s">
        <v>59</v>
      </c>
      <c r="D963" s="52" t="s">
        <v>809</v>
      </c>
      <c r="E963" s="52" t="s">
        <v>824</v>
      </c>
      <c r="F963" s="52"/>
      <c r="G963" s="40">
        <f>G964</f>
        <v>0</v>
      </c>
      <c r="H963" s="40">
        <f>H964</f>
        <v>0</v>
      </c>
      <c r="I963" s="40">
        <f>I964</f>
        <v>0</v>
      </c>
      <c r="J963" s="75"/>
      <c r="K963" s="68"/>
      <c r="L963" s="68"/>
      <c r="M963" s="69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</row>
    <row r="964" spans="1:29" ht="18" customHeight="1" hidden="1">
      <c r="A964" s="50" t="s">
        <v>206</v>
      </c>
      <c r="B964" s="51">
        <v>841</v>
      </c>
      <c r="C964" s="52" t="s">
        <v>59</v>
      </c>
      <c r="D964" s="52" t="s">
        <v>809</v>
      </c>
      <c r="E964" s="52" t="s">
        <v>824</v>
      </c>
      <c r="F964" s="52" t="s">
        <v>4</v>
      </c>
      <c r="G964" s="40"/>
      <c r="H964" s="40"/>
      <c r="I964" s="40"/>
      <c r="J964" s="75"/>
      <c r="K964" s="68"/>
      <c r="L964" s="68"/>
      <c r="M964" s="69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</row>
    <row r="965" spans="1:29" ht="20.25" customHeight="1" hidden="1">
      <c r="A965" s="50" t="s">
        <v>333</v>
      </c>
      <c r="B965" s="51">
        <v>841</v>
      </c>
      <c r="C965" s="52" t="s">
        <v>59</v>
      </c>
      <c r="D965" s="52" t="s">
        <v>809</v>
      </c>
      <c r="E965" s="52" t="s">
        <v>313</v>
      </c>
      <c r="F965" s="52"/>
      <c r="G965" s="40">
        <f>G966</f>
        <v>0</v>
      </c>
      <c r="H965" s="40">
        <f>H966</f>
        <v>0</v>
      </c>
      <c r="I965" s="40">
        <f>I966</f>
        <v>0</v>
      </c>
      <c r="J965" s="75"/>
      <c r="K965" s="68"/>
      <c r="L965" s="68"/>
      <c r="M965" s="69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</row>
    <row r="966" spans="1:29" ht="18.75" customHeight="1" hidden="1">
      <c r="A966" s="50" t="s">
        <v>415</v>
      </c>
      <c r="B966" s="51">
        <v>841</v>
      </c>
      <c r="C966" s="52" t="s">
        <v>59</v>
      </c>
      <c r="D966" s="52" t="s">
        <v>809</v>
      </c>
      <c r="E966" s="52" t="s">
        <v>313</v>
      </c>
      <c r="F966" s="52" t="s">
        <v>4</v>
      </c>
      <c r="G966" s="40"/>
      <c r="H966" s="40"/>
      <c r="I966" s="40"/>
      <c r="J966" s="75"/>
      <c r="K966" s="68"/>
      <c r="L966" s="68"/>
      <c r="M966" s="69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</row>
    <row r="967" spans="1:29" ht="18.75" customHeight="1" hidden="1">
      <c r="A967" s="50" t="s">
        <v>203</v>
      </c>
      <c r="B967" s="51">
        <v>841</v>
      </c>
      <c r="C967" s="52" t="s">
        <v>59</v>
      </c>
      <c r="D967" s="52" t="s">
        <v>809</v>
      </c>
      <c r="E967" s="52" t="s">
        <v>133</v>
      </c>
      <c r="F967" s="52"/>
      <c r="G967" s="40">
        <f>G968</f>
        <v>12986.7</v>
      </c>
      <c r="H967" s="40"/>
      <c r="I967" s="40"/>
      <c r="J967" s="75"/>
      <c r="K967" s="68"/>
      <c r="L967" s="68"/>
      <c r="M967" s="69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</row>
    <row r="968" spans="1:29" ht="18.75" customHeight="1" hidden="1">
      <c r="A968" s="50" t="s">
        <v>415</v>
      </c>
      <c r="B968" s="51">
        <v>841</v>
      </c>
      <c r="C968" s="52" t="s">
        <v>59</v>
      </c>
      <c r="D968" s="52" t="s">
        <v>809</v>
      </c>
      <c r="E968" s="52" t="s">
        <v>133</v>
      </c>
      <c r="F968" s="52" t="s">
        <v>4</v>
      </c>
      <c r="G968" s="40">
        <v>12986.7</v>
      </c>
      <c r="H968" s="40"/>
      <c r="I968" s="40"/>
      <c r="J968" s="75"/>
      <c r="K968" s="68"/>
      <c r="L968" s="68"/>
      <c r="M968" s="69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</row>
    <row r="969" spans="1:29" ht="21" customHeight="1" hidden="1">
      <c r="A969" s="81" t="s">
        <v>187</v>
      </c>
      <c r="B969" s="51">
        <v>841</v>
      </c>
      <c r="C969" s="52" t="s">
        <v>59</v>
      </c>
      <c r="D969" s="52" t="s">
        <v>809</v>
      </c>
      <c r="E969" s="52" t="s">
        <v>543</v>
      </c>
      <c r="F969" s="52"/>
      <c r="G969" s="40">
        <f>G970</f>
        <v>31000</v>
      </c>
      <c r="H969" s="40">
        <f>H970</f>
        <v>0</v>
      </c>
      <c r="I969" s="40">
        <f>I970</f>
        <v>0</v>
      </c>
      <c r="J969" s="75"/>
      <c r="K969" s="68"/>
      <c r="L969" s="68"/>
      <c r="M969" s="69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</row>
    <row r="970" spans="1:29" ht="18.75" customHeight="1" hidden="1">
      <c r="A970" s="50" t="s">
        <v>415</v>
      </c>
      <c r="B970" s="51">
        <v>841</v>
      </c>
      <c r="C970" s="52" t="s">
        <v>59</v>
      </c>
      <c r="D970" s="52" t="s">
        <v>809</v>
      </c>
      <c r="E970" s="52" t="s">
        <v>543</v>
      </c>
      <c r="F970" s="52" t="s">
        <v>4</v>
      </c>
      <c r="G970" s="40">
        <v>31000</v>
      </c>
      <c r="H970" s="40"/>
      <c r="I970" s="40"/>
      <c r="J970" s="75"/>
      <c r="K970" s="68"/>
      <c r="L970" s="68"/>
      <c r="M970" s="69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</row>
    <row r="971" spans="1:29" ht="17.25" customHeight="1">
      <c r="A971" s="85" t="s">
        <v>394</v>
      </c>
      <c r="B971" s="51">
        <v>841</v>
      </c>
      <c r="C971" s="52" t="s">
        <v>59</v>
      </c>
      <c r="D971" s="52" t="s">
        <v>809</v>
      </c>
      <c r="E971" s="52" t="s">
        <v>395</v>
      </c>
      <c r="F971" s="52"/>
      <c r="G971" s="40">
        <f aca="true" t="shared" si="107" ref="G971:I972">SUM(G972)</f>
        <v>154724.3</v>
      </c>
      <c r="H971" s="40">
        <f t="shared" si="107"/>
        <v>416152.8</v>
      </c>
      <c r="I971" s="40">
        <f t="shared" si="107"/>
        <v>0</v>
      </c>
      <c r="J971" s="75"/>
      <c r="K971" s="68"/>
      <c r="L971" s="68"/>
      <c r="M971" s="69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</row>
    <row r="972" spans="1:29" ht="36" customHeight="1">
      <c r="A972" s="85" t="s">
        <v>620</v>
      </c>
      <c r="B972" s="51">
        <v>841</v>
      </c>
      <c r="C972" s="83" t="s">
        <v>59</v>
      </c>
      <c r="D972" s="52" t="s">
        <v>809</v>
      </c>
      <c r="E972" s="52" t="s">
        <v>229</v>
      </c>
      <c r="F972" s="52"/>
      <c r="G972" s="40">
        <f t="shared" si="107"/>
        <v>154724.3</v>
      </c>
      <c r="H972" s="40">
        <f t="shared" si="107"/>
        <v>416152.8</v>
      </c>
      <c r="I972" s="40">
        <f t="shared" si="107"/>
        <v>0</v>
      </c>
      <c r="J972" s="75"/>
      <c r="K972" s="68"/>
      <c r="L972" s="68"/>
      <c r="M972" s="69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</row>
    <row r="973" spans="1:29" ht="21" customHeight="1">
      <c r="A973" s="85" t="s">
        <v>204</v>
      </c>
      <c r="B973" s="51">
        <v>841</v>
      </c>
      <c r="C973" s="83" t="s">
        <v>59</v>
      </c>
      <c r="D973" s="52" t="s">
        <v>809</v>
      </c>
      <c r="E973" s="52" t="s">
        <v>229</v>
      </c>
      <c r="F973" s="52" t="s">
        <v>81</v>
      </c>
      <c r="G973" s="40">
        <v>154724.3</v>
      </c>
      <c r="H973" s="40">
        <v>416152.8</v>
      </c>
      <c r="I973" s="40"/>
      <c r="J973" s="75"/>
      <c r="K973" s="68"/>
      <c r="L973" s="68"/>
      <c r="M973" s="69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</row>
    <row r="974" spans="1:29" ht="16.5" hidden="1">
      <c r="A974" s="85" t="s">
        <v>201</v>
      </c>
      <c r="B974" s="51">
        <v>841</v>
      </c>
      <c r="C974" s="83" t="s">
        <v>811</v>
      </c>
      <c r="D974" s="52"/>
      <c r="E974" s="52"/>
      <c r="F974" s="52"/>
      <c r="G974" s="40">
        <f>SUM(G975)</f>
        <v>3000</v>
      </c>
      <c r="H974" s="40">
        <f>SUM(H975)</f>
        <v>0</v>
      </c>
      <c r="I974" s="40">
        <f>SUM(I975)</f>
        <v>0</v>
      </c>
      <c r="J974" s="75"/>
      <c r="K974" s="68"/>
      <c r="L974" s="68"/>
      <c r="M974" s="69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</row>
    <row r="975" spans="1:29" ht="16.5" hidden="1">
      <c r="A975" s="85" t="s">
        <v>291</v>
      </c>
      <c r="B975" s="51">
        <v>841</v>
      </c>
      <c r="C975" s="83" t="s">
        <v>811</v>
      </c>
      <c r="D975" s="52" t="s">
        <v>59</v>
      </c>
      <c r="E975" s="52"/>
      <c r="F975" s="52"/>
      <c r="G975" s="40">
        <f>SUM(G978)</f>
        <v>3000</v>
      </c>
      <c r="H975" s="40">
        <f>SUM(H978)</f>
        <v>0</v>
      </c>
      <c r="I975" s="40">
        <f>SUM(I978)</f>
        <v>0</v>
      </c>
      <c r="J975" s="75"/>
      <c r="K975" s="68"/>
      <c r="L975" s="68"/>
      <c r="M975" s="69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</row>
    <row r="976" spans="1:29" ht="16.5" hidden="1">
      <c r="A976" s="81" t="s">
        <v>202</v>
      </c>
      <c r="B976" s="51">
        <v>841</v>
      </c>
      <c r="C976" s="83" t="s">
        <v>811</v>
      </c>
      <c r="D976" s="52" t="s">
        <v>59</v>
      </c>
      <c r="E976" s="52" t="s">
        <v>406</v>
      </c>
      <c r="F976" s="52"/>
      <c r="G976" s="40">
        <f>SUM(G977)</f>
        <v>3000</v>
      </c>
      <c r="H976" s="40">
        <f aca="true" t="shared" si="108" ref="H976:I978">SUM(H977)</f>
        <v>0</v>
      </c>
      <c r="I976" s="40">
        <f t="shared" si="108"/>
        <v>0</v>
      </c>
      <c r="J976" s="75"/>
      <c r="K976" s="68"/>
      <c r="L976" s="68"/>
      <c r="M976" s="69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</row>
    <row r="977" spans="1:29" ht="16.5" hidden="1">
      <c r="A977" s="81" t="s">
        <v>791</v>
      </c>
      <c r="B977" s="51">
        <v>841</v>
      </c>
      <c r="C977" s="83" t="s">
        <v>811</v>
      </c>
      <c r="D977" s="52" t="s">
        <v>59</v>
      </c>
      <c r="E977" s="52" t="s">
        <v>817</v>
      </c>
      <c r="F977" s="52"/>
      <c r="G977" s="40">
        <f>SUM(G978)</f>
        <v>3000</v>
      </c>
      <c r="H977" s="40">
        <f t="shared" si="108"/>
        <v>0</v>
      </c>
      <c r="I977" s="40">
        <f t="shared" si="108"/>
        <v>0</v>
      </c>
      <c r="J977" s="75"/>
      <c r="K977" s="68"/>
      <c r="L977" s="68"/>
      <c r="M977" s="69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</row>
    <row r="978" spans="1:29" ht="16.5" hidden="1">
      <c r="A978" s="81" t="s">
        <v>283</v>
      </c>
      <c r="B978" s="51">
        <v>841</v>
      </c>
      <c r="C978" s="83" t="s">
        <v>811</v>
      </c>
      <c r="D978" s="52" t="s">
        <v>59</v>
      </c>
      <c r="E978" s="52" t="s">
        <v>820</v>
      </c>
      <c r="F978" s="52"/>
      <c r="G978" s="40">
        <f>SUM(G979)</f>
        <v>3000</v>
      </c>
      <c r="H978" s="40">
        <f t="shared" si="108"/>
        <v>0</v>
      </c>
      <c r="I978" s="40">
        <f t="shared" si="108"/>
        <v>0</v>
      </c>
      <c r="J978" s="75"/>
      <c r="K978" s="68"/>
      <c r="L978" s="68"/>
      <c r="M978" s="69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</row>
    <row r="979" spans="1:29" ht="16.5" hidden="1">
      <c r="A979" s="50" t="s">
        <v>206</v>
      </c>
      <c r="B979" s="51">
        <v>841</v>
      </c>
      <c r="C979" s="83" t="s">
        <v>811</v>
      </c>
      <c r="D979" s="52" t="s">
        <v>59</v>
      </c>
      <c r="E979" s="52" t="s">
        <v>820</v>
      </c>
      <c r="F979" s="52" t="s">
        <v>4</v>
      </c>
      <c r="G979" s="40">
        <v>3000</v>
      </c>
      <c r="H979" s="40"/>
      <c r="I979" s="40"/>
      <c r="J979" s="75"/>
      <c r="K979" s="68"/>
      <c r="L979" s="68"/>
      <c r="M979" s="69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</row>
    <row r="980" spans="1:29" ht="18.75" customHeight="1" hidden="1">
      <c r="A980" s="85" t="s">
        <v>426</v>
      </c>
      <c r="B980" s="51">
        <v>841</v>
      </c>
      <c r="C980" s="52" t="s">
        <v>529</v>
      </c>
      <c r="D980" s="52"/>
      <c r="E980" s="52"/>
      <c r="F980" s="52"/>
      <c r="G980" s="40">
        <f>SUM(G981)</f>
        <v>110470.8</v>
      </c>
      <c r="H980" s="40">
        <f>SUM(H981)</f>
        <v>0</v>
      </c>
      <c r="I980" s="40">
        <f>SUM(I981)</f>
        <v>0</v>
      </c>
      <c r="J980" s="75"/>
      <c r="K980" s="68"/>
      <c r="L980" s="68"/>
      <c r="M980" s="69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</row>
    <row r="981" spans="1:29" ht="20.25" customHeight="1" hidden="1">
      <c r="A981" s="85" t="s">
        <v>122</v>
      </c>
      <c r="B981" s="51">
        <v>841</v>
      </c>
      <c r="C981" s="52" t="s">
        <v>529</v>
      </c>
      <c r="D981" s="52" t="s">
        <v>57</v>
      </c>
      <c r="E981" s="52"/>
      <c r="F981" s="52"/>
      <c r="G981" s="40">
        <f>SUM(G982,)</f>
        <v>110470.8</v>
      </c>
      <c r="H981" s="40">
        <f>SUM(H982,)</f>
        <v>0</v>
      </c>
      <c r="I981" s="40">
        <f>SUM(I982,)</f>
        <v>0</v>
      </c>
      <c r="J981" s="75"/>
      <c r="K981" s="68"/>
      <c r="L981" s="68"/>
      <c r="M981" s="69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</row>
    <row r="982" spans="1:29" ht="18.75" customHeight="1" hidden="1">
      <c r="A982" s="81" t="s">
        <v>405</v>
      </c>
      <c r="B982" s="51">
        <v>841</v>
      </c>
      <c r="C982" s="52" t="s">
        <v>529</v>
      </c>
      <c r="D982" s="52" t="s">
        <v>57</v>
      </c>
      <c r="E982" s="52" t="s">
        <v>406</v>
      </c>
      <c r="F982" s="52"/>
      <c r="G982" s="40">
        <f>G989+G983</f>
        <v>110470.8</v>
      </c>
      <c r="H982" s="40">
        <f>H989+H983</f>
        <v>0</v>
      </c>
      <c r="I982" s="40">
        <f>I989+I983</f>
        <v>0</v>
      </c>
      <c r="J982" s="75"/>
      <c r="K982" s="68"/>
      <c r="L982" s="68"/>
      <c r="M982" s="69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</row>
    <row r="983" spans="1:29" ht="52.5" customHeight="1" hidden="1">
      <c r="A983" s="81" t="s">
        <v>74</v>
      </c>
      <c r="B983" s="51">
        <v>841</v>
      </c>
      <c r="C983" s="52" t="s">
        <v>529</v>
      </c>
      <c r="D983" s="52" t="s">
        <v>57</v>
      </c>
      <c r="E983" s="52" t="s">
        <v>71</v>
      </c>
      <c r="F983" s="52"/>
      <c r="G983" s="40">
        <f>G984</f>
        <v>0</v>
      </c>
      <c r="H983" s="40">
        <f>H984</f>
        <v>0</v>
      </c>
      <c r="I983" s="40">
        <f>I984</f>
        <v>0</v>
      </c>
      <c r="J983" s="75"/>
      <c r="K983" s="68"/>
      <c r="L983" s="68"/>
      <c r="M983" s="69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</row>
    <row r="984" spans="1:29" ht="36" customHeight="1" hidden="1">
      <c r="A984" s="81" t="s">
        <v>407</v>
      </c>
      <c r="B984" s="51">
        <v>841</v>
      </c>
      <c r="C984" s="52" t="s">
        <v>529</v>
      </c>
      <c r="D984" s="52" t="s">
        <v>57</v>
      </c>
      <c r="E984" s="52" t="s">
        <v>408</v>
      </c>
      <c r="F984" s="52"/>
      <c r="G984" s="40">
        <f>SUM(G985:G988)</f>
        <v>0</v>
      </c>
      <c r="H984" s="40">
        <f>SUM(H985:H988)</f>
        <v>0</v>
      </c>
      <c r="I984" s="40">
        <f>SUM(I985:I988)</f>
        <v>0</v>
      </c>
      <c r="J984" s="75"/>
      <c r="K984" s="68"/>
      <c r="L984" s="68"/>
      <c r="M984" s="69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</row>
    <row r="985" spans="1:29" ht="18" customHeight="1" hidden="1">
      <c r="A985" s="81" t="s">
        <v>785</v>
      </c>
      <c r="B985" s="51">
        <v>841</v>
      </c>
      <c r="C985" s="52" t="s">
        <v>529</v>
      </c>
      <c r="D985" s="52" t="s">
        <v>57</v>
      </c>
      <c r="E985" s="52" t="s">
        <v>408</v>
      </c>
      <c r="F985" s="52" t="s">
        <v>85</v>
      </c>
      <c r="G985" s="40"/>
      <c r="H985" s="40"/>
      <c r="I985" s="40"/>
      <c r="J985" s="75"/>
      <c r="K985" s="68"/>
      <c r="L985" s="68"/>
      <c r="M985" s="69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</row>
    <row r="986" spans="1:29" ht="18" customHeight="1" hidden="1">
      <c r="A986" s="81" t="s">
        <v>354</v>
      </c>
      <c r="B986" s="51">
        <v>841</v>
      </c>
      <c r="C986" s="52" t="s">
        <v>529</v>
      </c>
      <c r="D986" s="52" t="s">
        <v>57</v>
      </c>
      <c r="E986" s="52" t="s">
        <v>408</v>
      </c>
      <c r="F986" s="52" t="s">
        <v>86</v>
      </c>
      <c r="G986" s="40"/>
      <c r="H986" s="40"/>
      <c r="I986" s="40"/>
      <c r="J986" s="75"/>
      <c r="K986" s="68"/>
      <c r="L986" s="68"/>
      <c r="M986" s="69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</row>
    <row r="987" spans="1:29" ht="20.25" customHeight="1" hidden="1">
      <c r="A987" s="81" t="s">
        <v>267</v>
      </c>
      <c r="B987" s="51">
        <v>841</v>
      </c>
      <c r="C987" s="52" t="s">
        <v>529</v>
      </c>
      <c r="D987" s="52" t="s">
        <v>57</v>
      </c>
      <c r="E987" s="52" t="s">
        <v>408</v>
      </c>
      <c r="F987" s="52" t="s">
        <v>87</v>
      </c>
      <c r="G987" s="40"/>
      <c r="H987" s="40"/>
      <c r="I987" s="40"/>
      <c r="J987" s="75"/>
      <c r="K987" s="68"/>
      <c r="L987" s="68"/>
      <c r="M987" s="69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</row>
    <row r="988" spans="1:29" ht="20.25" customHeight="1" hidden="1">
      <c r="A988" s="81" t="s">
        <v>268</v>
      </c>
      <c r="B988" s="51">
        <v>841</v>
      </c>
      <c r="C988" s="52" t="s">
        <v>529</v>
      </c>
      <c r="D988" s="52" t="s">
        <v>57</v>
      </c>
      <c r="E988" s="52" t="s">
        <v>408</v>
      </c>
      <c r="F988" s="52" t="s">
        <v>88</v>
      </c>
      <c r="G988" s="40"/>
      <c r="H988" s="40"/>
      <c r="I988" s="40"/>
      <c r="J988" s="75"/>
      <c r="K988" s="68"/>
      <c r="L988" s="68"/>
      <c r="M988" s="69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</row>
    <row r="989" spans="1:29" ht="16.5" hidden="1">
      <c r="A989" s="81" t="s">
        <v>791</v>
      </c>
      <c r="B989" s="51">
        <v>841</v>
      </c>
      <c r="C989" s="52" t="s">
        <v>529</v>
      </c>
      <c r="D989" s="52" t="s">
        <v>57</v>
      </c>
      <c r="E989" s="52" t="s">
        <v>817</v>
      </c>
      <c r="F989" s="52"/>
      <c r="G989" s="40">
        <f>G990+G992+G994+G996</f>
        <v>110470.8</v>
      </c>
      <c r="H989" s="40">
        <f>H990+H992+H994+H996</f>
        <v>0</v>
      </c>
      <c r="I989" s="40">
        <f>I990+I992+I994+I996</f>
        <v>0</v>
      </c>
      <c r="J989" s="75"/>
      <c r="K989" s="68"/>
      <c r="L989" s="68"/>
      <c r="M989" s="69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</row>
    <row r="990" spans="1:29" ht="18.75" customHeight="1" hidden="1">
      <c r="A990" s="81" t="s">
        <v>283</v>
      </c>
      <c r="B990" s="51">
        <v>841</v>
      </c>
      <c r="C990" s="52" t="s">
        <v>529</v>
      </c>
      <c r="D990" s="52" t="s">
        <v>57</v>
      </c>
      <c r="E990" s="52" t="s">
        <v>820</v>
      </c>
      <c r="F990" s="52"/>
      <c r="G990" s="40">
        <f>SUM(G991)</f>
        <v>5070.8</v>
      </c>
      <c r="H990" s="40">
        <f>SUM(H991)</f>
        <v>0</v>
      </c>
      <c r="I990" s="40">
        <f>SUM(I991)</f>
        <v>0</v>
      </c>
      <c r="J990" s="75"/>
      <c r="K990" s="68"/>
      <c r="L990" s="68"/>
      <c r="M990" s="69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</row>
    <row r="991" spans="1:29" ht="16.5" hidden="1">
      <c r="A991" s="50" t="s">
        <v>415</v>
      </c>
      <c r="B991" s="51">
        <v>841</v>
      </c>
      <c r="C991" s="52" t="s">
        <v>529</v>
      </c>
      <c r="D991" s="52" t="s">
        <v>57</v>
      </c>
      <c r="E991" s="52" t="s">
        <v>820</v>
      </c>
      <c r="F991" s="52" t="s">
        <v>4</v>
      </c>
      <c r="G991" s="40">
        <f>1170.8+3900</f>
        <v>5070.8</v>
      </c>
      <c r="H991" s="40"/>
      <c r="I991" s="40"/>
      <c r="J991" s="75"/>
      <c r="K991" s="68"/>
      <c r="L991" s="68"/>
      <c r="M991" s="69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</row>
    <row r="992" spans="1:29" ht="39" customHeight="1" hidden="1">
      <c r="A992" s="50" t="s">
        <v>546</v>
      </c>
      <c r="B992" s="51">
        <v>841</v>
      </c>
      <c r="C992" s="52" t="s">
        <v>529</v>
      </c>
      <c r="D992" s="52" t="s">
        <v>57</v>
      </c>
      <c r="E992" s="52" t="s">
        <v>825</v>
      </c>
      <c r="F992" s="52"/>
      <c r="G992" s="40">
        <f>SUM(G993)</f>
        <v>91700</v>
      </c>
      <c r="H992" s="40">
        <f>SUM(H993)</f>
        <v>0</v>
      </c>
      <c r="I992" s="40">
        <f>SUM(I993)</f>
        <v>0</v>
      </c>
      <c r="J992" s="75"/>
      <c r="K992" s="68"/>
      <c r="L992" s="68"/>
      <c r="M992" s="69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</row>
    <row r="993" spans="1:181" s="89" customFormat="1" ht="16.5" hidden="1">
      <c r="A993" s="50" t="s">
        <v>415</v>
      </c>
      <c r="B993" s="51">
        <v>841</v>
      </c>
      <c r="C993" s="52" t="s">
        <v>529</v>
      </c>
      <c r="D993" s="52" t="s">
        <v>57</v>
      </c>
      <c r="E993" s="52" t="s">
        <v>825</v>
      </c>
      <c r="F993" s="52" t="s">
        <v>4</v>
      </c>
      <c r="G993" s="40">
        <v>91700</v>
      </c>
      <c r="H993" s="40"/>
      <c r="I993" s="40"/>
      <c r="J993" s="75"/>
      <c r="K993" s="68"/>
      <c r="L993" s="68"/>
      <c r="M993" s="69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68"/>
      <c r="BU993" s="68"/>
      <c r="BV993" s="68"/>
      <c r="BW993" s="68"/>
      <c r="BX993" s="68"/>
      <c r="BY993" s="68"/>
      <c r="BZ993" s="68"/>
      <c r="CA993" s="68"/>
      <c r="CB993" s="68"/>
      <c r="CC993" s="68"/>
      <c r="CD993" s="68"/>
      <c r="CE993" s="68"/>
      <c r="CF993" s="68"/>
      <c r="CG993" s="68"/>
      <c r="CH993" s="68"/>
      <c r="CI993" s="68"/>
      <c r="CJ993" s="68"/>
      <c r="CK993" s="68"/>
      <c r="CL993" s="68"/>
      <c r="CM993" s="68"/>
      <c r="CN993" s="68"/>
      <c r="CO993" s="68"/>
      <c r="CP993" s="68"/>
      <c r="CQ993" s="68"/>
      <c r="CR993" s="68"/>
      <c r="CS993" s="68"/>
      <c r="CT993" s="68"/>
      <c r="CU993" s="68"/>
      <c r="CV993" s="68"/>
      <c r="CW993" s="68"/>
      <c r="CX993" s="68"/>
      <c r="CY993" s="68"/>
      <c r="CZ993" s="68"/>
      <c r="DA993" s="68"/>
      <c r="DB993" s="68"/>
      <c r="DC993" s="68"/>
      <c r="DD993" s="68"/>
      <c r="DE993" s="68"/>
      <c r="DF993" s="68"/>
      <c r="DG993" s="68"/>
      <c r="DH993" s="68"/>
      <c r="DI993" s="68"/>
      <c r="DJ993" s="68"/>
      <c r="DK993" s="68"/>
      <c r="DL993" s="68"/>
      <c r="DM993" s="68"/>
      <c r="DN993" s="68"/>
      <c r="DO993" s="68"/>
      <c r="DP993" s="68"/>
      <c r="DQ993" s="68"/>
      <c r="DR993" s="68"/>
      <c r="DS993" s="68"/>
      <c r="DT993" s="68"/>
      <c r="DU993" s="68"/>
      <c r="DV993" s="68"/>
      <c r="DW993" s="68"/>
      <c r="DX993" s="68"/>
      <c r="DY993" s="68"/>
      <c r="DZ993" s="68"/>
      <c r="EA993" s="68"/>
      <c r="EB993" s="68"/>
      <c r="EC993" s="68"/>
      <c r="ED993" s="68"/>
      <c r="EE993" s="68"/>
      <c r="EF993" s="68"/>
      <c r="EG993" s="68"/>
      <c r="EH993" s="68"/>
      <c r="EI993" s="68"/>
      <c r="EJ993" s="68"/>
      <c r="EK993" s="68"/>
      <c r="EL993" s="68"/>
      <c r="EM993" s="68"/>
      <c r="EN993" s="68"/>
      <c r="EO993" s="68"/>
      <c r="EP993" s="68"/>
      <c r="EQ993" s="68"/>
      <c r="ER993" s="68"/>
      <c r="ES993" s="68"/>
      <c r="ET993" s="68"/>
      <c r="EU993" s="68"/>
      <c r="EV993" s="68"/>
      <c r="EW993" s="68"/>
      <c r="EX993" s="68"/>
      <c r="EY993" s="68"/>
      <c r="EZ993" s="68"/>
      <c r="FA993" s="68"/>
      <c r="FB993" s="68"/>
      <c r="FC993" s="68"/>
      <c r="FD993" s="68"/>
      <c r="FE993" s="68"/>
      <c r="FF993" s="68"/>
      <c r="FG993" s="68"/>
      <c r="FH993" s="68"/>
      <c r="FI993" s="68"/>
      <c r="FJ993" s="68"/>
      <c r="FK993" s="68"/>
      <c r="FL993" s="68"/>
      <c r="FM993" s="68"/>
      <c r="FN993" s="68"/>
      <c r="FO993" s="68"/>
      <c r="FP993" s="68"/>
      <c r="FQ993" s="68"/>
      <c r="FR993" s="68"/>
      <c r="FS993" s="68"/>
      <c r="FT993" s="68"/>
      <c r="FU993" s="68"/>
      <c r="FV993" s="68"/>
      <c r="FW993" s="68"/>
      <c r="FX993" s="68"/>
      <c r="FY993" s="68"/>
    </row>
    <row r="994" spans="1:181" s="90" customFormat="1" ht="18.75" customHeight="1" hidden="1">
      <c r="A994" s="50" t="s">
        <v>544</v>
      </c>
      <c r="B994" s="51">
        <v>841</v>
      </c>
      <c r="C994" s="52" t="s">
        <v>529</v>
      </c>
      <c r="D994" s="52" t="s">
        <v>57</v>
      </c>
      <c r="E994" s="52" t="s">
        <v>826</v>
      </c>
      <c r="F994" s="52"/>
      <c r="G994" s="40">
        <f>SUM(G995)</f>
        <v>10700</v>
      </c>
      <c r="H994" s="40">
        <f>SUM(H995)</f>
        <v>0</v>
      </c>
      <c r="I994" s="40">
        <f>SUM(I995)</f>
        <v>0</v>
      </c>
      <c r="J994" s="75"/>
      <c r="K994" s="68"/>
      <c r="L994" s="68"/>
      <c r="M994" s="69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68"/>
      <c r="BU994" s="68"/>
      <c r="BV994" s="68"/>
      <c r="BW994" s="68"/>
      <c r="BX994" s="68"/>
      <c r="BY994" s="68"/>
      <c r="BZ994" s="68"/>
      <c r="CA994" s="68"/>
      <c r="CB994" s="68"/>
      <c r="CC994" s="68"/>
      <c r="CD994" s="68"/>
      <c r="CE994" s="68"/>
      <c r="CF994" s="68"/>
      <c r="CG994" s="68"/>
      <c r="CH994" s="68"/>
      <c r="CI994" s="68"/>
      <c r="CJ994" s="68"/>
      <c r="CK994" s="68"/>
      <c r="CL994" s="68"/>
      <c r="CM994" s="68"/>
      <c r="CN994" s="68"/>
      <c r="CO994" s="68"/>
      <c r="CP994" s="68"/>
      <c r="CQ994" s="68"/>
      <c r="CR994" s="68"/>
      <c r="CS994" s="68"/>
      <c r="CT994" s="68"/>
      <c r="CU994" s="68"/>
      <c r="CV994" s="68"/>
      <c r="CW994" s="68"/>
      <c r="CX994" s="68"/>
      <c r="CY994" s="68"/>
      <c r="CZ994" s="68"/>
      <c r="DA994" s="68"/>
      <c r="DB994" s="68"/>
      <c r="DC994" s="68"/>
      <c r="DD994" s="68"/>
      <c r="DE994" s="68"/>
      <c r="DF994" s="68"/>
      <c r="DG994" s="68"/>
      <c r="DH994" s="68"/>
      <c r="DI994" s="68"/>
      <c r="DJ994" s="68"/>
      <c r="DK994" s="68"/>
      <c r="DL994" s="68"/>
      <c r="DM994" s="68"/>
      <c r="DN994" s="68"/>
      <c r="DO994" s="68"/>
      <c r="DP994" s="68"/>
      <c r="DQ994" s="68"/>
      <c r="DR994" s="68"/>
      <c r="DS994" s="68"/>
      <c r="DT994" s="68"/>
      <c r="DU994" s="68"/>
      <c r="DV994" s="68"/>
      <c r="DW994" s="68"/>
      <c r="DX994" s="68"/>
      <c r="DY994" s="68"/>
      <c r="DZ994" s="68"/>
      <c r="EA994" s="68"/>
      <c r="EB994" s="68"/>
      <c r="EC994" s="68"/>
      <c r="ED994" s="68"/>
      <c r="EE994" s="68"/>
      <c r="EF994" s="68"/>
      <c r="EG994" s="68"/>
      <c r="EH994" s="68"/>
      <c r="EI994" s="68"/>
      <c r="EJ994" s="68"/>
      <c r="EK994" s="68"/>
      <c r="EL994" s="68"/>
      <c r="EM994" s="68"/>
      <c r="EN994" s="68"/>
      <c r="EO994" s="68"/>
      <c r="EP994" s="68"/>
      <c r="EQ994" s="68"/>
      <c r="ER994" s="68"/>
      <c r="ES994" s="68"/>
      <c r="ET994" s="68"/>
      <c r="EU994" s="68"/>
      <c r="EV994" s="68"/>
      <c r="EW994" s="68"/>
      <c r="EX994" s="68"/>
      <c r="EY994" s="68"/>
      <c r="EZ994" s="68"/>
      <c r="FA994" s="68"/>
      <c r="FB994" s="68"/>
      <c r="FC994" s="68"/>
      <c r="FD994" s="68"/>
      <c r="FE994" s="68"/>
      <c r="FF994" s="68"/>
      <c r="FG994" s="68"/>
      <c r="FH994" s="68"/>
      <c r="FI994" s="68"/>
      <c r="FJ994" s="68"/>
      <c r="FK994" s="68"/>
      <c r="FL994" s="68"/>
      <c r="FM994" s="68"/>
      <c r="FN994" s="68"/>
      <c r="FO994" s="68"/>
      <c r="FP994" s="68"/>
      <c r="FQ994" s="68"/>
      <c r="FR994" s="68"/>
      <c r="FS994" s="68"/>
      <c r="FT994" s="68"/>
      <c r="FU994" s="68"/>
      <c r="FV994" s="68"/>
      <c r="FW994" s="68"/>
      <c r="FX994" s="68"/>
      <c r="FY994" s="68"/>
    </row>
    <row r="995" spans="1:181" ht="16.5" hidden="1">
      <c r="A995" s="50" t="s">
        <v>415</v>
      </c>
      <c r="B995" s="51">
        <v>841</v>
      </c>
      <c r="C995" s="52" t="s">
        <v>529</v>
      </c>
      <c r="D995" s="52" t="s">
        <v>57</v>
      </c>
      <c r="E995" s="52" t="s">
        <v>826</v>
      </c>
      <c r="F995" s="52" t="s">
        <v>4</v>
      </c>
      <c r="G995" s="40">
        <v>10700</v>
      </c>
      <c r="H995" s="40"/>
      <c r="I995" s="40"/>
      <c r="J995" s="75"/>
      <c r="K995" s="68"/>
      <c r="L995" s="68"/>
      <c r="M995" s="69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68"/>
      <c r="BU995" s="68"/>
      <c r="BV995" s="68"/>
      <c r="BW995" s="68"/>
      <c r="BX995" s="68"/>
      <c r="BY995" s="68"/>
      <c r="BZ995" s="68"/>
      <c r="CA995" s="68"/>
      <c r="CB995" s="68"/>
      <c r="CC995" s="68"/>
      <c r="CD995" s="68"/>
      <c r="CE995" s="68"/>
      <c r="CF995" s="68"/>
      <c r="CG995" s="68"/>
      <c r="CH995" s="68"/>
      <c r="CI995" s="68"/>
      <c r="CJ995" s="68"/>
      <c r="CK995" s="68"/>
      <c r="CL995" s="68"/>
      <c r="CM995" s="68"/>
      <c r="CN995" s="68"/>
      <c r="CO995" s="68"/>
      <c r="CP995" s="68"/>
      <c r="CQ995" s="68"/>
      <c r="CR995" s="68"/>
      <c r="CS995" s="68"/>
      <c r="CT995" s="68"/>
      <c r="CU995" s="68"/>
      <c r="CV995" s="68"/>
      <c r="CW995" s="68"/>
      <c r="CX995" s="68"/>
      <c r="CY995" s="68"/>
      <c r="CZ995" s="68"/>
      <c r="DA995" s="68"/>
      <c r="DB995" s="68"/>
      <c r="DC995" s="68"/>
      <c r="DD995" s="68"/>
      <c r="DE995" s="68"/>
      <c r="DF995" s="68"/>
      <c r="DG995" s="68"/>
      <c r="DH995" s="68"/>
      <c r="DI995" s="68"/>
      <c r="DJ995" s="68"/>
      <c r="DK995" s="68"/>
      <c r="DL995" s="68"/>
      <c r="DM995" s="68"/>
      <c r="DN995" s="68"/>
      <c r="DO995" s="68"/>
      <c r="DP995" s="68"/>
      <c r="DQ995" s="68"/>
      <c r="DR995" s="68"/>
      <c r="DS995" s="68"/>
      <c r="DT995" s="68"/>
      <c r="DU995" s="68"/>
      <c r="DV995" s="68"/>
      <c r="DW995" s="68"/>
      <c r="DX995" s="68"/>
      <c r="DY995" s="68"/>
      <c r="DZ995" s="68"/>
      <c r="EA995" s="68"/>
      <c r="EB995" s="68"/>
      <c r="EC995" s="68"/>
      <c r="ED995" s="68"/>
      <c r="EE995" s="68"/>
      <c r="EF995" s="68"/>
      <c r="EG995" s="68"/>
      <c r="EH995" s="68"/>
      <c r="EI995" s="68"/>
      <c r="EJ995" s="68"/>
      <c r="EK995" s="68"/>
      <c r="EL995" s="68"/>
      <c r="EM995" s="68"/>
      <c r="EN995" s="68"/>
      <c r="EO995" s="68"/>
      <c r="EP995" s="68"/>
      <c r="EQ995" s="68"/>
      <c r="ER995" s="68"/>
      <c r="ES995" s="68"/>
      <c r="ET995" s="68"/>
      <c r="EU995" s="68"/>
      <c r="EV995" s="68"/>
      <c r="EW995" s="68"/>
      <c r="EX995" s="68"/>
      <c r="EY995" s="68"/>
      <c r="EZ995" s="68"/>
      <c r="FA995" s="68"/>
      <c r="FB995" s="68"/>
      <c r="FC995" s="68"/>
      <c r="FD995" s="68"/>
      <c r="FE995" s="68"/>
      <c r="FF995" s="68"/>
      <c r="FG995" s="68"/>
      <c r="FH995" s="68"/>
      <c r="FI995" s="68"/>
      <c r="FJ995" s="68"/>
      <c r="FK995" s="68"/>
      <c r="FL995" s="68"/>
      <c r="FM995" s="68"/>
      <c r="FN995" s="68"/>
      <c r="FO995" s="68"/>
      <c r="FP995" s="68"/>
      <c r="FQ995" s="68"/>
      <c r="FR995" s="68"/>
      <c r="FS995" s="68"/>
      <c r="FT995" s="68"/>
      <c r="FU995" s="68"/>
      <c r="FV995" s="68"/>
      <c r="FW995" s="68"/>
      <c r="FX995" s="68"/>
      <c r="FY995" s="68"/>
    </row>
    <row r="996" spans="1:181" ht="16.5" hidden="1">
      <c r="A996" s="50" t="s">
        <v>292</v>
      </c>
      <c r="B996" s="51">
        <v>841</v>
      </c>
      <c r="C996" s="52" t="s">
        <v>529</v>
      </c>
      <c r="D996" s="52" t="s">
        <v>57</v>
      </c>
      <c r="E996" s="52" t="s">
        <v>289</v>
      </c>
      <c r="F996" s="52"/>
      <c r="G996" s="40">
        <f>G997</f>
        <v>3000</v>
      </c>
      <c r="H996" s="40">
        <f>H997</f>
        <v>0</v>
      </c>
      <c r="I996" s="40">
        <f>I997</f>
        <v>0</v>
      </c>
      <c r="J996" s="75"/>
      <c r="K996" s="68"/>
      <c r="L996" s="68"/>
      <c r="M996" s="69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8"/>
      <c r="BS996" s="68"/>
      <c r="BT996" s="68"/>
      <c r="BU996" s="68"/>
      <c r="BV996" s="68"/>
      <c r="BW996" s="68"/>
      <c r="BX996" s="68"/>
      <c r="BY996" s="68"/>
      <c r="BZ996" s="68"/>
      <c r="CA996" s="68"/>
      <c r="CB996" s="68"/>
      <c r="CC996" s="68"/>
      <c r="CD996" s="68"/>
      <c r="CE996" s="68"/>
      <c r="CF996" s="68"/>
      <c r="CG996" s="68"/>
      <c r="CH996" s="68"/>
      <c r="CI996" s="68"/>
      <c r="CJ996" s="68"/>
      <c r="CK996" s="68"/>
      <c r="CL996" s="68"/>
      <c r="CM996" s="68"/>
      <c r="CN996" s="68"/>
      <c r="CO996" s="68"/>
      <c r="CP996" s="68"/>
      <c r="CQ996" s="68"/>
      <c r="CR996" s="68"/>
      <c r="CS996" s="68"/>
      <c r="CT996" s="68"/>
      <c r="CU996" s="68"/>
      <c r="CV996" s="68"/>
      <c r="CW996" s="68"/>
      <c r="CX996" s="68"/>
      <c r="CY996" s="68"/>
      <c r="CZ996" s="68"/>
      <c r="DA996" s="68"/>
      <c r="DB996" s="68"/>
      <c r="DC996" s="68"/>
      <c r="DD996" s="68"/>
      <c r="DE996" s="68"/>
      <c r="DF996" s="68"/>
      <c r="DG996" s="68"/>
      <c r="DH996" s="68"/>
      <c r="DI996" s="68"/>
      <c r="DJ996" s="68"/>
      <c r="DK996" s="68"/>
      <c r="DL996" s="68"/>
      <c r="DM996" s="68"/>
      <c r="DN996" s="68"/>
      <c r="DO996" s="68"/>
      <c r="DP996" s="68"/>
      <c r="DQ996" s="68"/>
      <c r="DR996" s="68"/>
      <c r="DS996" s="68"/>
      <c r="DT996" s="68"/>
      <c r="DU996" s="68"/>
      <c r="DV996" s="68"/>
      <c r="DW996" s="68"/>
      <c r="DX996" s="68"/>
      <c r="DY996" s="68"/>
      <c r="DZ996" s="68"/>
      <c r="EA996" s="68"/>
      <c r="EB996" s="68"/>
      <c r="EC996" s="68"/>
      <c r="ED996" s="68"/>
      <c r="EE996" s="68"/>
      <c r="EF996" s="68"/>
      <c r="EG996" s="68"/>
      <c r="EH996" s="68"/>
      <c r="EI996" s="68"/>
      <c r="EJ996" s="68"/>
      <c r="EK996" s="68"/>
      <c r="EL996" s="68"/>
      <c r="EM996" s="68"/>
      <c r="EN996" s="68"/>
      <c r="EO996" s="68"/>
      <c r="EP996" s="68"/>
      <c r="EQ996" s="68"/>
      <c r="ER996" s="68"/>
      <c r="ES996" s="68"/>
      <c r="ET996" s="68"/>
      <c r="EU996" s="68"/>
      <c r="EV996" s="68"/>
      <c r="EW996" s="68"/>
      <c r="EX996" s="68"/>
      <c r="EY996" s="68"/>
      <c r="EZ996" s="68"/>
      <c r="FA996" s="68"/>
      <c r="FB996" s="68"/>
      <c r="FC996" s="68"/>
      <c r="FD996" s="68"/>
      <c r="FE996" s="68"/>
      <c r="FF996" s="68"/>
      <c r="FG996" s="68"/>
      <c r="FH996" s="68"/>
      <c r="FI996" s="68"/>
      <c r="FJ996" s="68"/>
      <c r="FK996" s="68"/>
      <c r="FL996" s="68"/>
      <c r="FM996" s="68"/>
      <c r="FN996" s="68"/>
      <c r="FO996" s="68"/>
      <c r="FP996" s="68"/>
      <c r="FQ996" s="68"/>
      <c r="FR996" s="68"/>
      <c r="FS996" s="68"/>
      <c r="FT996" s="68"/>
      <c r="FU996" s="68"/>
      <c r="FV996" s="68"/>
      <c r="FW996" s="68"/>
      <c r="FX996" s="68"/>
      <c r="FY996" s="68"/>
    </row>
    <row r="997" spans="1:29" ht="16.5" hidden="1">
      <c r="A997" s="50" t="s">
        <v>415</v>
      </c>
      <c r="B997" s="51">
        <v>841</v>
      </c>
      <c r="C997" s="52" t="s">
        <v>529</v>
      </c>
      <c r="D997" s="52" t="s">
        <v>57</v>
      </c>
      <c r="E997" s="52" t="s">
        <v>289</v>
      </c>
      <c r="F997" s="52" t="s">
        <v>4</v>
      </c>
      <c r="G997" s="40">
        <v>3000</v>
      </c>
      <c r="H997" s="40"/>
      <c r="I997" s="40"/>
      <c r="J997" s="75"/>
      <c r="K997" s="68"/>
      <c r="L997" s="68"/>
      <c r="M997" s="69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</row>
    <row r="998" spans="1:29" ht="18" customHeight="1" hidden="1">
      <c r="A998" s="85" t="s">
        <v>235</v>
      </c>
      <c r="B998" s="51">
        <v>841</v>
      </c>
      <c r="C998" s="52" t="s">
        <v>60</v>
      </c>
      <c r="D998" s="52"/>
      <c r="E998" s="52"/>
      <c r="F998" s="52"/>
      <c r="G998" s="40">
        <f aca="true" t="shared" si="109" ref="G998:I999">SUM(G999)</f>
        <v>0</v>
      </c>
      <c r="H998" s="40">
        <f t="shared" si="109"/>
        <v>0</v>
      </c>
      <c r="I998" s="40">
        <f t="shared" si="109"/>
        <v>0</v>
      </c>
      <c r="J998" s="75"/>
      <c r="K998" s="68"/>
      <c r="L998" s="68"/>
      <c r="M998" s="69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</row>
    <row r="999" spans="1:29" ht="18" customHeight="1" hidden="1">
      <c r="A999" s="81" t="s">
        <v>239</v>
      </c>
      <c r="B999" s="51">
        <v>841</v>
      </c>
      <c r="C999" s="52" t="s">
        <v>60</v>
      </c>
      <c r="D999" s="52" t="s">
        <v>810</v>
      </c>
      <c r="E999" s="52"/>
      <c r="F999" s="52"/>
      <c r="G999" s="40">
        <f t="shared" si="109"/>
        <v>0</v>
      </c>
      <c r="H999" s="40">
        <f t="shared" si="109"/>
        <v>0</v>
      </c>
      <c r="I999" s="40">
        <f t="shared" si="109"/>
        <v>0</v>
      </c>
      <c r="J999" s="75"/>
      <c r="K999" s="68"/>
      <c r="L999" s="68"/>
      <c r="M999" s="69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</row>
    <row r="1000" spans="1:29" ht="19.5" customHeight="1" hidden="1">
      <c r="A1000" s="81" t="s">
        <v>405</v>
      </c>
      <c r="B1000" s="51">
        <v>841</v>
      </c>
      <c r="C1000" s="52" t="s">
        <v>60</v>
      </c>
      <c r="D1000" s="52" t="s">
        <v>810</v>
      </c>
      <c r="E1000" s="52" t="s">
        <v>406</v>
      </c>
      <c r="F1000" s="52"/>
      <c r="G1000" s="40">
        <f>SUM(G1005,G1001)</f>
        <v>0</v>
      </c>
      <c r="H1000" s="40">
        <f>SUM(H1005,H1001)</f>
        <v>0</v>
      </c>
      <c r="I1000" s="40">
        <f>SUM(I1005,I1001)</f>
        <v>0</v>
      </c>
      <c r="J1000" s="75"/>
      <c r="K1000" s="68"/>
      <c r="L1000" s="68"/>
      <c r="M1000" s="69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</row>
    <row r="1001" spans="1:29" ht="51" customHeight="1" hidden="1">
      <c r="A1001" s="81" t="s">
        <v>74</v>
      </c>
      <c r="B1001" s="51">
        <v>841</v>
      </c>
      <c r="C1001" s="52" t="s">
        <v>60</v>
      </c>
      <c r="D1001" s="52" t="s">
        <v>810</v>
      </c>
      <c r="E1001" s="52" t="s">
        <v>71</v>
      </c>
      <c r="F1001" s="52"/>
      <c r="G1001" s="40">
        <f>SUM(G1002)</f>
        <v>0</v>
      </c>
      <c r="H1001" s="40">
        <f>SUM(H1002)</f>
        <v>0</v>
      </c>
      <c r="I1001" s="40">
        <f>SUM(I1002)</f>
        <v>0</v>
      </c>
      <c r="J1001" s="75"/>
      <c r="K1001" s="68"/>
      <c r="L1001" s="68"/>
      <c r="M1001" s="69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</row>
    <row r="1002" spans="1:29" ht="34.5" customHeight="1" hidden="1">
      <c r="A1002" s="81" t="s">
        <v>205</v>
      </c>
      <c r="B1002" s="51">
        <v>841</v>
      </c>
      <c r="C1002" s="52" t="s">
        <v>60</v>
      </c>
      <c r="D1002" s="52" t="s">
        <v>810</v>
      </c>
      <c r="E1002" s="52" t="s">
        <v>408</v>
      </c>
      <c r="F1002" s="52"/>
      <c r="G1002" s="40">
        <f>SUM(G1003:G1004)</f>
        <v>0</v>
      </c>
      <c r="H1002" s="40">
        <f>SUM(H1003:H1004)</f>
        <v>0</v>
      </c>
      <c r="I1002" s="40">
        <f>SUM(I1003:I1004)</f>
        <v>0</v>
      </c>
      <c r="J1002" s="75"/>
      <c r="K1002" s="68"/>
      <c r="L1002" s="68"/>
      <c r="M1002" s="69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</row>
    <row r="1003" spans="1:29" ht="18.75" customHeight="1" hidden="1">
      <c r="A1003" s="81" t="s">
        <v>790</v>
      </c>
      <c r="B1003" s="51">
        <v>841</v>
      </c>
      <c r="C1003" s="52" t="s">
        <v>60</v>
      </c>
      <c r="D1003" s="52" t="s">
        <v>810</v>
      </c>
      <c r="E1003" s="52" t="s">
        <v>408</v>
      </c>
      <c r="F1003" s="52" t="s">
        <v>89</v>
      </c>
      <c r="G1003" s="40"/>
      <c r="H1003" s="40"/>
      <c r="I1003" s="40"/>
      <c r="J1003" s="75"/>
      <c r="K1003" s="68"/>
      <c r="L1003" s="68"/>
      <c r="M1003" s="69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</row>
    <row r="1004" spans="1:29" ht="20.25" customHeight="1" hidden="1">
      <c r="A1004" s="50" t="s">
        <v>270</v>
      </c>
      <c r="B1004" s="51">
        <v>841</v>
      </c>
      <c r="C1004" s="52" t="s">
        <v>60</v>
      </c>
      <c r="D1004" s="52" t="s">
        <v>810</v>
      </c>
      <c r="E1004" s="52" t="s">
        <v>408</v>
      </c>
      <c r="F1004" s="52" t="s">
        <v>90</v>
      </c>
      <c r="G1004" s="40"/>
      <c r="H1004" s="40"/>
      <c r="I1004" s="40"/>
      <c r="J1004" s="75"/>
      <c r="K1004" s="68"/>
      <c r="L1004" s="68"/>
      <c r="M1004" s="69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</row>
    <row r="1005" spans="1:29" ht="16.5" hidden="1">
      <c r="A1005" s="81" t="s">
        <v>791</v>
      </c>
      <c r="B1005" s="51">
        <v>841</v>
      </c>
      <c r="C1005" s="52" t="s">
        <v>60</v>
      </c>
      <c r="D1005" s="52" t="s">
        <v>810</v>
      </c>
      <c r="E1005" s="52" t="s">
        <v>817</v>
      </c>
      <c r="F1005" s="52"/>
      <c r="G1005" s="40">
        <f>G1006+G1008</f>
        <v>0</v>
      </c>
      <c r="H1005" s="40">
        <f>H1006+H1008</f>
        <v>0</v>
      </c>
      <c r="I1005" s="40">
        <f>I1006+I1008</f>
        <v>0</v>
      </c>
      <c r="J1005" s="75"/>
      <c r="K1005" s="68"/>
      <c r="L1005" s="68"/>
      <c r="M1005" s="69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</row>
    <row r="1006" spans="1:29" ht="19.5" customHeight="1" hidden="1">
      <c r="A1006" s="81" t="s">
        <v>770</v>
      </c>
      <c r="B1006" s="51">
        <v>841</v>
      </c>
      <c r="C1006" s="52" t="s">
        <v>60</v>
      </c>
      <c r="D1006" s="52" t="s">
        <v>810</v>
      </c>
      <c r="E1006" s="52" t="s">
        <v>820</v>
      </c>
      <c r="F1006" s="52"/>
      <c r="G1006" s="40">
        <f>SUM(G1007)</f>
        <v>0</v>
      </c>
      <c r="H1006" s="40">
        <f>SUM(H1007)</f>
        <v>0</v>
      </c>
      <c r="I1006" s="40">
        <f>SUM(I1007)</f>
        <v>0</v>
      </c>
      <c r="J1006" s="75"/>
      <c r="K1006" s="68"/>
      <c r="L1006" s="68"/>
      <c r="M1006" s="69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</row>
    <row r="1007" spans="1:29" ht="16.5" hidden="1">
      <c r="A1007" s="50" t="s">
        <v>415</v>
      </c>
      <c r="B1007" s="51">
        <v>841</v>
      </c>
      <c r="C1007" s="52" t="s">
        <v>60</v>
      </c>
      <c r="D1007" s="52" t="s">
        <v>810</v>
      </c>
      <c r="E1007" s="52" t="s">
        <v>820</v>
      </c>
      <c r="F1007" s="52" t="s">
        <v>4</v>
      </c>
      <c r="G1007" s="40"/>
      <c r="H1007" s="40"/>
      <c r="I1007" s="40"/>
      <c r="J1007" s="75"/>
      <c r="K1007" s="68"/>
      <c r="L1007" s="68"/>
      <c r="M1007" s="69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</row>
    <row r="1008" spans="1:29" ht="18" customHeight="1" hidden="1">
      <c r="A1008" s="50" t="s">
        <v>792</v>
      </c>
      <c r="B1008" s="51">
        <v>841</v>
      </c>
      <c r="C1008" s="52" t="s">
        <v>60</v>
      </c>
      <c r="D1008" s="52" t="s">
        <v>810</v>
      </c>
      <c r="E1008" s="52" t="s">
        <v>827</v>
      </c>
      <c r="F1008" s="52"/>
      <c r="G1008" s="40">
        <f>SUM(G1009)</f>
        <v>0</v>
      </c>
      <c r="H1008" s="40">
        <f>SUM(H1009)</f>
        <v>0</v>
      </c>
      <c r="I1008" s="40">
        <f>SUM(I1009)</f>
        <v>0</v>
      </c>
      <c r="J1008" s="75"/>
      <c r="K1008" s="68"/>
      <c r="L1008" s="68"/>
      <c r="M1008" s="69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</row>
    <row r="1009" spans="1:29" ht="16.5" hidden="1">
      <c r="A1009" s="50" t="s">
        <v>415</v>
      </c>
      <c r="B1009" s="51">
        <v>841</v>
      </c>
      <c r="C1009" s="52" t="s">
        <v>60</v>
      </c>
      <c r="D1009" s="52" t="s">
        <v>810</v>
      </c>
      <c r="E1009" s="52" t="s">
        <v>827</v>
      </c>
      <c r="F1009" s="52" t="s">
        <v>4</v>
      </c>
      <c r="G1009" s="40"/>
      <c r="H1009" s="40"/>
      <c r="I1009" s="40"/>
      <c r="J1009" s="75"/>
      <c r="K1009" s="68"/>
      <c r="L1009" s="68"/>
      <c r="M1009" s="69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</row>
    <row r="1010" spans="1:29" ht="19.5" customHeight="1" hidden="1">
      <c r="A1010" s="85" t="s">
        <v>237</v>
      </c>
      <c r="B1010" s="51">
        <v>841</v>
      </c>
      <c r="C1010" s="83" t="s">
        <v>57</v>
      </c>
      <c r="D1010" s="52"/>
      <c r="E1010" s="52"/>
      <c r="F1010" s="52"/>
      <c r="G1010" s="40">
        <f>SUM(G1011)</f>
        <v>0</v>
      </c>
      <c r="H1010" s="40">
        <f>SUM(H1011)</f>
        <v>0</v>
      </c>
      <c r="I1010" s="40">
        <f>SUM(I1011)</f>
        <v>0</v>
      </c>
      <c r="J1010" s="75"/>
      <c r="K1010" s="68"/>
      <c r="L1010" s="68"/>
      <c r="M1010" s="69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</row>
    <row r="1011" spans="1:29" ht="19.5" customHeight="1" hidden="1">
      <c r="A1011" s="50" t="s">
        <v>510</v>
      </c>
      <c r="B1011" s="51">
        <v>841</v>
      </c>
      <c r="C1011" s="83" t="s">
        <v>57</v>
      </c>
      <c r="D1011" s="52" t="s">
        <v>57</v>
      </c>
      <c r="E1011" s="52"/>
      <c r="F1011" s="52"/>
      <c r="G1011" s="40">
        <f>G1012</f>
        <v>0</v>
      </c>
      <c r="H1011" s="40">
        <f>H1012</f>
        <v>0</v>
      </c>
      <c r="I1011" s="40">
        <f>I1012</f>
        <v>0</v>
      </c>
      <c r="J1011" s="75"/>
      <c r="K1011" s="68"/>
      <c r="L1011" s="68"/>
      <c r="M1011" s="69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</row>
    <row r="1012" spans="1:29" ht="18.75" customHeight="1" hidden="1">
      <c r="A1012" s="81" t="s">
        <v>202</v>
      </c>
      <c r="B1012" s="51">
        <v>841</v>
      </c>
      <c r="C1012" s="83" t="s">
        <v>57</v>
      </c>
      <c r="D1012" s="52" t="s">
        <v>57</v>
      </c>
      <c r="E1012" s="52" t="s">
        <v>406</v>
      </c>
      <c r="F1012" s="52"/>
      <c r="G1012" s="40">
        <f>SUM(G1013)</f>
        <v>0</v>
      </c>
      <c r="H1012" s="40">
        <f>SUM(H1013)</f>
        <v>0</v>
      </c>
      <c r="I1012" s="40">
        <f>SUM(I1013)</f>
        <v>0</v>
      </c>
      <c r="J1012" s="75"/>
      <c r="K1012" s="68"/>
      <c r="L1012" s="68"/>
      <c r="M1012" s="69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</row>
    <row r="1013" spans="1:29" s="89" customFormat="1" ht="18.75" customHeight="1" hidden="1">
      <c r="A1013" s="81" t="s">
        <v>769</v>
      </c>
      <c r="B1013" s="51">
        <v>841</v>
      </c>
      <c r="C1013" s="52" t="s">
        <v>57</v>
      </c>
      <c r="D1013" s="52" t="s">
        <v>57</v>
      </c>
      <c r="E1013" s="52" t="s">
        <v>817</v>
      </c>
      <c r="F1013" s="52"/>
      <c r="G1013" s="40">
        <f>G1014+G1016</f>
        <v>0</v>
      </c>
      <c r="H1013" s="40">
        <f>H1014+H1016</f>
        <v>0</v>
      </c>
      <c r="I1013" s="40">
        <f>I1014+I1016</f>
        <v>0</v>
      </c>
      <c r="J1013" s="75"/>
      <c r="K1013" s="68"/>
      <c r="L1013" s="68"/>
      <c r="M1013" s="69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</row>
    <row r="1014" spans="1:29" s="95" customFormat="1" ht="18.75" customHeight="1" hidden="1">
      <c r="A1014" s="81" t="s">
        <v>770</v>
      </c>
      <c r="B1014" s="51">
        <v>841</v>
      </c>
      <c r="C1014" s="83" t="s">
        <v>57</v>
      </c>
      <c r="D1014" s="52" t="s">
        <v>57</v>
      </c>
      <c r="E1014" s="52" t="s">
        <v>820</v>
      </c>
      <c r="F1014" s="52"/>
      <c r="G1014" s="40">
        <f>G1015</f>
        <v>0</v>
      </c>
      <c r="H1014" s="40">
        <f>H1015</f>
        <v>0</v>
      </c>
      <c r="I1014" s="40">
        <f>I1015</f>
        <v>0</v>
      </c>
      <c r="J1014" s="75"/>
      <c r="K1014" s="68"/>
      <c r="L1014" s="68"/>
      <c r="M1014" s="69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</row>
    <row r="1015" spans="1:29" s="95" customFormat="1" ht="18.75" customHeight="1" hidden="1">
      <c r="A1015" s="50" t="s">
        <v>415</v>
      </c>
      <c r="B1015" s="51">
        <v>841</v>
      </c>
      <c r="C1015" s="83" t="s">
        <v>57</v>
      </c>
      <c r="D1015" s="52" t="s">
        <v>57</v>
      </c>
      <c r="E1015" s="52" t="s">
        <v>820</v>
      </c>
      <c r="F1015" s="52" t="s">
        <v>4</v>
      </c>
      <c r="G1015" s="40"/>
      <c r="H1015" s="40"/>
      <c r="I1015" s="40"/>
      <c r="J1015" s="75"/>
      <c r="K1015" s="68"/>
      <c r="L1015" s="68"/>
      <c r="M1015" s="69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</row>
    <row r="1016" spans="1:29" s="90" customFormat="1" ht="16.5" customHeight="1" hidden="1">
      <c r="A1016" s="81" t="s">
        <v>269</v>
      </c>
      <c r="B1016" s="51">
        <v>841</v>
      </c>
      <c r="C1016" s="83" t="s">
        <v>57</v>
      </c>
      <c r="D1016" s="52" t="s">
        <v>57</v>
      </c>
      <c r="E1016" s="52" t="s">
        <v>828</v>
      </c>
      <c r="F1016" s="52"/>
      <c r="G1016" s="40">
        <f>SUM(G1017)</f>
        <v>0</v>
      </c>
      <c r="H1016" s="40">
        <f>SUM(H1017)</f>
        <v>0</v>
      </c>
      <c r="I1016" s="40">
        <f>SUM(I1017)</f>
        <v>0</v>
      </c>
      <c r="J1016" s="75"/>
      <c r="K1016" s="68"/>
      <c r="L1016" s="68"/>
      <c r="M1016" s="69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</row>
    <row r="1017" spans="1:29" ht="16.5" hidden="1">
      <c r="A1017" s="50" t="s">
        <v>415</v>
      </c>
      <c r="B1017" s="51">
        <v>841</v>
      </c>
      <c r="C1017" s="83" t="s">
        <v>57</v>
      </c>
      <c r="D1017" s="52" t="s">
        <v>57</v>
      </c>
      <c r="E1017" s="52" t="s">
        <v>828</v>
      </c>
      <c r="F1017" s="52" t="s">
        <v>4</v>
      </c>
      <c r="G1017" s="40"/>
      <c r="H1017" s="40"/>
      <c r="I1017" s="40"/>
      <c r="J1017" s="75"/>
      <c r="K1017" s="68"/>
      <c r="L1017" s="68"/>
      <c r="M1017" s="69"/>
      <c r="N1017" s="68"/>
      <c r="O1017" s="68"/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</row>
    <row r="1018" spans="1:29" ht="18" customHeight="1">
      <c r="A1018" s="63" t="s">
        <v>244</v>
      </c>
      <c r="B1018" s="51">
        <v>188</v>
      </c>
      <c r="C1018" s="52"/>
      <c r="D1018" s="52"/>
      <c r="E1018" s="87"/>
      <c r="F1018" s="87"/>
      <c r="G1018" s="40">
        <f>SUM(G1019)</f>
        <v>23212.2</v>
      </c>
      <c r="H1018" s="40">
        <f aca="true" t="shared" si="110" ref="H1018:I1020">SUM(H1019)</f>
        <v>23339.600000000002</v>
      </c>
      <c r="I1018" s="40">
        <f t="shared" si="110"/>
        <v>23440.1</v>
      </c>
      <c r="J1018" s="75"/>
      <c r="K1018" s="68"/>
      <c r="L1018" s="68"/>
      <c r="M1018" s="69"/>
      <c r="N1018" s="68"/>
      <c r="O1018" s="68"/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</row>
    <row r="1019" spans="1:29" ht="18" customHeight="1">
      <c r="A1019" s="85" t="s">
        <v>328</v>
      </c>
      <c r="B1019" s="51">
        <v>188</v>
      </c>
      <c r="C1019" s="52" t="s">
        <v>809</v>
      </c>
      <c r="D1019" s="52"/>
      <c r="E1019" s="87"/>
      <c r="F1019" s="87"/>
      <c r="G1019" s="40">
        <f>SUM(G1020)</f>
        <v>23212.2</v>
      </c>
      <c r="H1019" s="40">
        <f t="shared" si="110"/>
        <v>23339.600000000002</v>
      </c>
      <c r="I1019" s="40">
        <f t="shared" si="110"/>
        <v>23440.1</v>
      </c>
      <c r="J1019" s="75"/>
      <c r="K1019" s="68"/>
      <c r="L1019" s="68"/>
      <c r="M1019" s="69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</row>
    <row r="1020" spans="1:29" ht="18.75" customHeight="1">
      <c r="A1020" s="85" t="s">
        <v>211</v>
      </c>
      <c r="B1020" s="51">
        <v>188</v>
      </c>
      <c r="C1020" s="52" t="s">
        <v>809</v>
      </c>
      <c r="D1020" s="52" t="s">
        <v>808</v>
      </c>
      <c r="E1020" s="87"/>
      <c r="F1020" s="87"/>
      <c r="G1020" s="40">
        <f>SUM(G1021)</f>
        <v>23212.2</v>
      </c>
      <c r="H1020" s="40">
        <f t="shared" si="110"/>
        <v>23339.600000000002</v>
      </c>
      <c r="I1020" s="40">
        <f t="shared" si="110"/>
        <v>23440.1</v>
      </c>
      <c r="J1020" s="75"/>
      <c r="K1020" s="68"/>
      <c r="L1020" s="68"/>
      <c r="M1020" s="69"/>
      <c r="N1020" s="68"/>
      <c r="O1020" s="68"/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</row>
    <row r="1021" spans="1:29" ht="19.5" customHeight="1">
      <c r="A1021" s="81" t="s">
        <v>118</v>
      </c>
      <c r="B1021" s="51">
        <v>188</v>
      </c>
      <c r="C1021" s="52" t="s">
        <v>809</v>
      </c>
      <c r="D1021" s="52" t="s">
        <v>808</v>
      </c>
      <c r="E1021" s="52" t="s">
        <v>207</v>
      </c>
      <c r="F1021" s="87"/>
      <c r="G1021" s="40">
        <f>SUM(G1024,G1026,G1028,G1030)</f>
        <v>23212.2</v>
      </c>
      <c r="H1021" s="40">
        <f>SUM(H1024,H1026,H1028,H1030)</f>
        <v>23339.600000000002</v>
      </c>
      <c r="I1021" s="40">
        <f>SUM(I1024,I1026,I1028,I1030)</f>
        <v>23440.1</v>
      </c>
      <c r="J1021" s="75"/>
      <c r="K1021" s="68"/>
      <c r="L1021" s="68"/>
      <c r="M1021" s="69"/>
      <c r="N1021" s="68"/>
      <c r="O1021" s="68"/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</row>
    <row r="1022" spans="1:29" ht="51" customHeight="1" hidden="1">
      <c r="A1022" s="105" t="s">
        <v>54</v>
      </c>
      <c r="B1022" s="51">
        <v>188</v>
      </c>
      <c r="C1022" s="52" t="s">
        <v>809</v>
      </c>
      <c r="D1022" s="52" t="s">
        <v>808</v>
      </c>
      <c r="E1022" s="52" t="s">
        <v>208</v>
      </c>
      <c r="F1022" s="52"/>
      <c r="G1022" s="40">
        <f>G1023</f>
        <v>0</v>
      </c>
      <c r="H1022" s="40">
        <f>H1023</f>
        <v>0</v>
      </c>
      <c r="I1022" s="40">
        <f>I1023</f>
        <v>0</v>
      </c>
      <c r="J1022" s="75"/>
      <c r="K1022" s="68"/>
      <c r="L1022" s="68"/>
      <c r="M1022" s="69"/>
      <c r="N1022" s="68"/>
      <c r="O1022" s="68"/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</row>
    <row r="1023" spans="1:29" ht="33" hidden="1">
      <c r="A1023" s="63" t="s">
        <v>2</v>
      </c>
      <c r="B1023" s="51">
        <v>188</v>
      </c>
      <c r="C1023" s="52" t="s">
        <v>809</v>
      </c>
      <c r="D1023" s="52" t="s">
        <v>808</v>
      </c>
      <c r="E1023" s="52" t="s">
        <v>208</v>
      </c>
      <c r="F1023" s="52" t="s">
        <v>527</v>
      </c>
      <c r="G1023" s="40"/>
      <c r="H1023" s="40"/>
      <c r="I1023" s="40"/>
      <c r="J1023" s="75"/>
      <c r="K1023" s="68"/>
      <c r="L1023" s="68"/>
      <c r="M1023" s="69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68"/>
      <c r="Z1023" s="68"/>
      <c r="AA1023" s="68"/>
      <c r="AB1023" s="68"/>
      <c r="AC1023" s="68"/>
    </row>
    <row r="1024" spans="1:29" ht="17.25" customHeight="1">
      <c r="A1024" s="105" t="s">
        <v>3</v>
      </c>
      <c r="B1024" s="51">
        <v>188</v>
      </c>
      <c r="C1024" s="52" t="s">
        <v>809</v>
      </c>
      <c r="D1024" s="52" t="s">
        <v>808</v>
      </c>
      <c r="E1024" s="52" t="s">
        <v>531</v>
      </c>
      <c r="F1024" s="52"/>
      <c r="G1024" s="40">
        <f>SUM(G1025)</f>
        <v>11919.2</v>
      </c>
      <c r="H1024" s="40">
        <f>SUM(H1025)</f>
        <v>11919.2</v>
      </c>
      <c r="I1024" s="40">
        <f>SUM(I1025)</f>
        <v>11919.2</v>
      </c>
      <c r="J1024" s="75"/>
      <c r="K1024" s="68"/>
      <c r="L1024" s="68"/>
      <c r="M1024" s="69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  <c r="Y1024" s="68"/>
      <c r="Z1024" s="68"/>
      <c r="AA1024" s="68"/>
      <c r="AB1024" s="68"/>
      <c r="AC1024" s="68"/>
    </row>
    <row r="1025" spans="1:29" ht="34.5" customHeight="1">
      <c r="A1025" s="63" t="s">
        <v>2</v>
      </c>
      <c r="B1025" s="51">
        <v>188</v>
      </c>
      <c r="C1025" s="52" t="s">
        <v>809</v>
      </c>
      <c r="D1025" s="52" t="s">
        <v>808</v>
      </c>
      <c r="E1025" s="52" t="s">
        <v>531</v>
      </c>
      <c r="F1025" s="52" t="s">
        <v>527</v>
      </c>
      <c r="G1025" s="40">
        <v>11919.2</v>
      </c>
      <c r="H1025" s="40">
        <v>11919.2</v>
      </c>
      <c r="I1025" s="40">
        <v>11919.2</v>
      </c>
      <c r="J1025" s="75"/>
      <c r="K1025" s="68"/>
      <c r="L1025" s="68"/>
      <c r="M1025" s="69"/>
      <c r="N1025" s="68"/>
      <c r="O1025" s="68"/>
      <c r="P1025" s="68"/>
      <c r="Q1025" s="68"/>
      <c r="R1025" s="68"/>
      <c r="S1025" s="68"/>
      <c r="T1025" s="68"/>
      <c r="U1025" s="68"/>
      <c r="V1025" s="68"/>
      <c r="W1025" s="68"/>
      <c r="X1025" s="68"/>
      <c r="Y1025" s="68"/>
      <c r="Z1025" s="68"/>
      <c r="AA1025" s="68"/>
      <c r="AB1025" s="68"/>
      <c r="AC1025" s="68"/>
    </row>
    <row r="1026" spans="1:29" ht="18" customHeight="1">
      <c r="A1026" s="85" t="s">
        <v>51</v>
      </c>
      <c r="B1026" s="51">
        <v>188</v>
      </c>
      <c r="C1026" s="52" t="s">
        <v>809</v>
      </c>
      <c r="D1026" s="52" t="s">
        <v>808</v>
      </c>
      <c r="E1026" s="52" t="s">
        <v>532</v>
      </c>
      <c r="F1026" s="52"/>
      <c r="G1026" s="40">
        <f>SUM(G1027)</f>
        <v>10537</v>
      </c>
      <c r="H1026" s="40">
        <f>SUM(H1027)</f>
        <v>10626.5</v>
      </c>
      <c r="I1026" s="40">
        <f>SUM(I1027)</f>
        <v>10691.2</v>
      </c>
      <c r="J1026" s="75"/>
      <c r="K1026" s="68"/>
      <c r="L1026" s="68"/>
      <c r="M1026" s="69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</row>
    <row r="1027" spans="1:29" ht="32.25" customHeight="1">
      <c r="A1027" s="63" t="s">
        <v>2</v>
      </c>
      <c r="B1027" s="51">
        <v>188</v>
      </c>
      <c r="C1027" s="52" t="s">
        <v>809</v>
      </c>
      <c r="D1027" s="52" t="s">
        <v>808</v>
      </c>
      <c r="E1027" s="52" t="s">
        <v>532</v>
      </c>
      <c r="F1027" s="52" t="s">
        <v>527</v>
      </c>
      <c r="G1027" s="40">
        <v>10537</v>
      </c>
      <c r="H1027" s="40">
        <v>10626.5</v>
      </c>
      <c r="I1027" s="40">
        <v>10691.2</v>
      </c>
      <c r="J1027" s="75"/>
      <c r="K1027" s="68"/>
      <c r="L1027" s="68"/>
      <c r="M1027" s="69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</row>
    <row r="1028" spans="1:29" ht="16.5">
      <c r="A1028" s="50" t="s">
        <v>52</v>
      </c>
      <c r="B1028" s="51">
        <v>188</v>
      </c>
      <c r="C1028" s="52" t="s">
        <v>809</v>
      </c>
      <c r="D1028" s="52" t="s">
        <v>808</v>
      </c>
      <c r="E1028" s="52" t="s">
        <v>533</v>
      </c>
      <c r="F1028" s="52"/>
      <c r="G1028" s="40">
        <f>SUM(G1029)</f>
        <v>97.1</v>
      </c>
      <c r="H1028" s="40">
        <f>SUM(H1029)</f>
        <v>102</v>
      </c>
      <c r="I1028" s="40">
        <f>SUM(I1029)</f>
        <v>106.6</v>
      </c>
      <c r="J1028" s="75"/>
      <c r="K1028" s="68"/>
      <c r="L1028" s="68"/>
      <c r="M1028" s="69"/>
      <c r="N1028" s="68"/>
      <c r="O1028" s="68"/>
      <c r="P1028" s="68"/>
      <c r="Q1028" s="68"/>
      <c r="R1028" s="68"/>
      <c r="S1028" s="68"/>
      <c r="T1028" s="68"/>
      <c r="U1028" s="68"/>
      <c r="V1028" s="68"/>
      <c r="W1028" s="68"/>
      <c r="X1028" s="68"/>
      <c r="Y1028" s="68"/>
      <c r="Z1028" s="68"/>
      <c r="AA1028" s="68"/>
      <c r="AB1028" s="68"/>
      <c r="AC1028" s="68"/>
    </row>
    <row r="1029" spans="1:173" s="89" customFormat="1" ht="33">
      <c r="A1029" s="63" t="s">
        <v>2</v>
      </c>
      <c r="B1029" s="51">
        <v>188</v>
      </c>
      <c r="C1029" s="52" t="s">
        <v>809</v>
      </c>
      <c r="D1029" s="52" t="s">
        <v>808</v>
      </c>
      <c r="E1029" s="52" t="s">
        <v>533</v>
      </c>
      <c r="F1029" s="52" t="s">
        <v>527</v>
      </c>
      <c r="G1029" s="40">
        <v>97.1</v>
      </c>
      <c r="H1029" s="40">
        <v>102</v>
      </c>
      <c r="I1029" s="40">
        <v>106.6</v>
      </c>
      <c r="J1029" s="75"/>
      <c r="K1029" s="68"/>
      <c r="L1029" s="68"/>
      <c r="M1029" s="69"/>
      <c r="N1029" s="68"/>
      <c r="O1029" s="68"/>
      <c r="P1029" s="68"/>
      <c r="Q1029" s="68"/>
      <c r="R1029" s="68"/>
      <c r="S1029" s="68"/>
      <c r="T1029" s="68"/>
      <c r="U1029" s="68"/>
      <c r="V1029" s="68"/>
      <c r="W1029" s="68"/>
      <c r="X1029" s="68"/>
      <c r="Y1029" s="68"/>
      <c r="Z1029" s="68"/>
      <c r="AA1029" s="68"/>
      <c r="AB1029" s="68"/>
      <c r="AC1029" s="68"/>
      <c r="AD1029" s="68"/>
      <c r="AE1029" s="68"/>
      <c r="AF1029" s="68"/>
      <c r="AG1029" s="68"/>
      <c r="AH1029" s="68"/>
      <c r="AI1029" s="68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  <c r="BH1029" s="68"/>
      <c r="BI1029" s="68"/>
      <c r="BJ1029" s="68"/>
      <c r="BK1029" s="68"/>
      <c r="BL1029" s="68"/>
      <c r="BM1029" s="68"/>
      <c r="BN1029" s="68"/>
      <c r="BO1029" s="68"/>
      <c r="BP1029" s="68"/>
      <c r="BQ1029" s="68"/>
      <c r="BR1029" s="68"/>
      <c r="BS1029" s="68"/>
      <c r="BT1029" s="68"/>
      <c r="BU1029" s="68"/>
      <c r="BV1029" s="68"/>
      <c r="BW1029" s="68"/>
      <c r="BX1029" s="68"/>
      <c r="BY1029" s="68"/>
      <c r="BZ1029" s="68"/>
      <c r="CA1029" s="68"/>
      <c r="CB1029" s="68"/>
      <c r="CC1029" s="68"/>
      <c r="CD1029" s="68"/>
      <c r="CE1029" s="68"/>
      <c r="CF1029" s="68"/>
      <c r="CG1029" s="68"/>
      <c r="CH1029" s="68"/>
      <c r="CI1029" s="68"/>
      <c r="CJ1029" s="68"/>
      <c r="CK1029" s="68"/>
      <c r="CL1029" s="68"/>
      <c r="CM1029" s="68"/>
      <c r="CN1029" s="68"/>
      <c r="CO1029" s="68"/>
      <c r="CP1029" s="68"/>
      <c r="CQ1029" s="68"/>
      <c r="CR1029" s="68"/>
      <c r="CS1029" s="68"/>
      <c r="CT1029" s="68"/>
      <c r="CU1029" s="68"/>
      <c r="CV1029" s="68"/>
      <c r="CW1029" s="68"/>
      <c r="CX1029" s="68"/>
      <c r="CY1029" s="68"/>
      <c r="CZ1029" s="68"/>
      <c r="DA1029" s="68"/>
      <c r="DB1029" s="68"/>
      <c r="DC1029" s="68"/>
      <c r="DD1029" s="68"/>
      <c r="DE1029" s="68"/>
      <c r="DF1029" s="68"/>
      <c r="DG1029" s="68"/>
      <c r="DH1029" s="68"/>
      <c r="DI1029" s="68"/>
      <c r="DJ1029" s="68"/>
      <c r="DK1029" s="68"/>
      <c r="DL1029" s="68"/>
      <c r="DM1029" s="68"/>
      <c r="DN1029" s="68"/>
      <c r="DO1029" s="68"/>
      <c r="DP1029" s="68"/>
      <c r="DQ1029" s="68"/>
      <c r="DR1029" s="68"/>
      <c r="DS1029" s="68"/>
      <c r="DT1029" s="68"/>
      <c r="DU1029" s="68"/>
      <c r="DV1029" s="68"/>
      <c r="DW1029" s="68"/>
      <c r="DX1029" s="68"/>
      <c r="DY1029" s="68"/>
      <c r="DZ1029" s="68"/>
      <c r="EA1029" s="68"/>
      <c r="EB1029" s="68"/>
      <c r="EC1029" s="68"/>
      <c r="ED1029" s="68"/>
      <c r="EE1029" s="68"/>
      <c r="EF1029" s="68"/>
      <c r="EG1029" s="68"/>
      <c r="EH1029" s="68"/>
      <c r="EI1029" s="68"/>
      <c r="EJ1029" s="68"/>
      <c r="EK1029" s="68"/>
      <c r="EL1029" s="68"/>
      <c r="EM1029" s="68"/>
      <c r="EN1029" s="68"/>
      <c r="EO1029" s="68"/>
      <c r="EP1029" s="68"/>
      <c r="EQ1029" s="68"/>
      <c r="ER1029" s="68"/>
      <c r="ES1029" s="68"/>
      <c r="ET1029" s="68"/>
      <c r="EU1029" s="68"/>
      <c r="EV1029" s="68"/>
      <c r="EW1029" s="68"/>
      <c r="EX1029" s="68"/>
      <c r="EY1029" s="68"/>
      <c r="EZ1029" s="68"/>
      <c r="FA1029" s="68"/>
      <c r="FB1029" s="68"/>
      <c r="FC1029" s="68"/>
      <c r="FD1029" s="68"/>
      <c r="FE1029" s="68"/>
      <c r="FF1029" s="68"/>
      <c r="FG1029" s="68"/>
      <c r="FH1029" s="68"/>
      <c r="FI1029" s="68"/>
      <c r="FJ1029" s="68"/>
      <c r="FK1029" s="68"/>
      <c r="FL1029" s="68"/>
      <c r="FM1029" s="68"/>
      <c r="FN1029" s="68"/>
      <c r="FO1029" s="68"/>
      <c r="FP1029" s="68"/>
      <c r="FQ1029" s="68"/>
    </row>
    <row r="1030" spans="1:173" s="90" customFormat="1" ht="18" customHeight="1">
      <c r="A1030" s="85" t="s">
        <v>53</v>
      </c>
      <c r="B1030" s="51">
        <v>188</v>
      </c>
      <c r="C1030" s="52" t="s">
        <v>809</v>
      </c>
      <c r="D1030" s="52" t="s">
        <v>808</v>
      </c>
      <c r="E1030" s="52" t="s">
        <v>534</v>
      </c>
      <c r="F1030" s="52"/>
      <c r="G1030" s="40">
        <f>SUM(G1031)</f>
        <v>658.9</v>
      </c>
      <c r="H1030" s="40">
        <f>SUM(H1031)</f>
        <v>691.9</v>
      </c>
      <c r="I1030" s="40">
        <f>SUM(I1031)</f>
        <v>723.1</v>
      </c>
      <c r="J1030" s="75"/>
      <c r="K1030" s="68"/>
      <c r="L1030" s="68"/>
      <c r="M1030" s="69"/>
      <c r="N1030" s="68"/>
      <c r="O1030" s="68"/>
      <c r="P1030" s="68"/>
      <c r="Q1030" s="68"/>
      <c r="R1030" s="68"/>
      <c r="S1030" s="68"/>
      <c r="T1030" s="68"/>
      <c r="U1030" s="68"/>
      <c r="V1030" s="68"/>
      <c r="W1030" s="68"/>
      <c r="X1030" s="68"/>
      <c r="Y1030" s="68"/>
      <c r="Z1030" s="68"/>
      <c r="AA1030" s="68"/>
      <c r="AB1030" s="68"/>
      <c r="AC1030" s="68"/>
      <c r="AD1030" s="68"/>
      <c r="AE1030" s="68"/>
      <c r="AF1030" s="68"/>
      <c r="AG1030" s="68"/>
      <c r="AH1030" s="68"/>
      <c r="AI1030" s="68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  <c r="BH1030" s="68"/>
      <c r="BI1030" s="68"/>
      <c r="BJ1030" s="68"/>
      <c r="BK1030" s="68"/>
      <c r="BL1030" s="68"/>
      <c r="BM1030" s="68"/>
      <c r="BN1030" s="68"/>
      <c r="BO1030" s="68"/>
      <c r="BP1030" s="68"/>
      <c r="BQ1030" s="68"/>
      <c r="BR1030" s="68"/>
      <c r="BS1030" s="68"/>
      <c r="BT1030" s="68"/>
      <c r="BU1030" s="68"/>
      <c r="BV1030" s="68"/>
      <c r="BW1030" s="68"/>
      <c r="BX1030" s="68"/>
      <c r="BY1030" s="68"/>
      <c r="BZ1030" s="68"/>
      <c r="CA1030" s="68"/>
      <c r="CB1030" s="68"/>
      <c r="CC1030" s="68"/>
      <c r="CD1030" s="68"/>
      <c r="CE1030" s="68"/>
      <c r="CF1030" s="68"/>
      <c r="CG1030" s="68"/>
      <c r="CH1030" s="68"/>
      <c r="CI1030" s="68"/>
      <c r="CJ1030" s="68"/>
      <c r="CK1030" s="68"/>
      <c r="CL1030" s="68"/>
      <c r="CM1030" s="68"/>
      <c r="CN1030" s="68"/>
      <c r="CO1030" s="68"/>
      <c r="CP1030" s="68"/>
      <c r="CQ1030" s="68"/>
      <c r="CR1030" s="68"/>
      <c r="CS1030" s="68"/>
      <c r="CT1030" s="68"/>
      <c r="CU1030" s="68"/>
      <c r="CV1030" s="68"/>
      <c r="CW1030" s="68"/>
      <c r="CX1030" s="68"/>
      <c r="CY1030" s="68"/>
      <c r="CZ1030" s="68"/>
      <c r="DA1030" s="68"/>
      <c r="DB1030" s="68"/>
      <c r="DC1030" s="68"/>
      <c r="DD1030" s="68"/>
      <c r="DE1030" s="68"/>
      <c r="DF1030" s="68"/>
      <c r="DG1030" s="68"/>
      <c r="DH1030" s="68"/>
      <c r="DI1030" s="68"/>
      <c r="DJ1030" s="68"/>
      <c r="DK1030" s="68"/>
      <c r="DL1030" s="68"/>
      <c r="DM1030" s="68"/>
      <c r="DN1030" s="68"/>
      <c r="DO1030" s="68"/>
      <c r="DP1030" s="68"/>
      <c r="DQ1030" s="68"/>
      <c r="DR1030" s="68"/>
      <c r="DS1030" s="68"/>
      <c r="DT1030" s="68"/>
      <c r="DU1030" s="68"/>
      <c r="DV1030" s="68"/>
      <c r="DW1030" s="68"/>
      <c r="DX1030" s="68"/>
      <c r="DY1030" s="68"/>
      <c r="DZ1030" s="68"/>
      <c r="EA1030" s="68"/>
      <c r="EB1030" s="68"/>
      <c r="EC1030" s="68"/>
      <c r="ED1030" s="68"/>
      <c r="EE1030" s="68"/>
      <c r="EF1030" s="68"/>
      <c r="EG1030" s="68"/>
      <c r="EH1030" s="68"/>
      <c r="EI1030" s="68"/>
      <c r="EJ1030" s="68"/>
      <c r="EK1030" s="68"/>
      <c r="EL1030" s="68"/>
      <c r="EM1030" s="68"/>
      <c r="EN1030" s="68"/>
      <c r="EO1030" s="68"/>
      <c r="EP1030" s="68"/>
      <c r="EQ1030" s="68"/>
      <c r="ER1030" s="68"/>
      <c r="ES1030" s="68"/>
      <c r="ET1030" s="68"/>
      <c r="EU1030" s="68"/>
      <c r="EV1030" s="68"/>
      <c r="EW1030" s="68"/>
      <c r="EX1030" s="68"/>
      <c r="EY1030" s="68"/>
      <c r="EZ1030" s="68"/>
      <c r="FA1030" s="68"/>
      <c r="FB1030" s="68"/>
      <c r="FC1030" s="68"/>
      <c r="FD1030" s="68"/>
      <c r="FE1030" s="68"/>
      <c r="FF1030" s="68"/>
      <c r="FG1030" s="68"/>
      <c r="FH1030" s="68"/>
      <c r="FI1030" s="68"/>
      <c r="FJ1030" s="68"/>
      <c r="FK1030" s="68"/>
      <c r="FL1030" s="68"/>
      <c r="FM1030" s="68"/>
      <c r="FN1030" s="68"/>
      <c r="FO1030" s="68"/>
      <c r="FP1030" s="68"/>
      <c r="FQ1030" s="68"/>
    </row>
    <row r="1031" spans="1:173" s="120" customFormat="1" ht="16.5">
      <c r="A1031" s="86" t="s">
        <v>567</v>
      </c>
      <c r="B1031" s="107">
        <v>188</v>
      </c>
      <c r="C1031" s="108" t="s">
        <v>809</v>
      </c>
      <c r="D1031" s="108" t="s">
        <v>808</v>
      </c>
      <c r="E1031" s="108" t="s">
        <v>534</v>
      </c>
      <c r="F1031" s="108" t="s">
        <v>68</v>
      </c>
      <c r="G1031" s="109">
        <v>658.9</v>
      </c>
      <c r="H1031" s="109">
        <v>691.9</v>
      </c>
      <c r="I1031" s="109">
        <v>723.1</v>
      </c>
      <c r="J1031" s="117"/>
      <c r="K1031" s="118"/>
      <c r="L1031" s="118"/>
      <c r="M1031" s="119"/>
      <c r="N1031" s="118"/>
      <c r="O1031" s="118"/>
      <c r="P1031" s="118"/>
      <c r="Q1031" s="118"/>
      <c r="R1031" s="118"/>
      <c r="S1031" s="118"/>
      <c r="T1031" s="118"/>
      <c r="U1031" s="118"/>
      <c r="V1031" s="118"/>
      <c r="W1031" s="118"/>
      <c r="X1031" s="118"/>
      <c r="Y1031" s="118"/>
      <c r="Z1031" s="118"/>
      <c r="AA1031" s="118"/>
      <c r="AB1031" s="118"/>
      <c r="AC1031" s="118"/>
      <c r="AD1031" s="118"/>
      <c r="AE1031" s="118"/>
      <c r="AF1031" s="118"/>
      <c r="AG1031" s="118"/>
      <c r="AH1031" s="118"/>
      <c r="AI1031" s="118"/>
      <c r="AJ1031" s="118"/>
      <c r="AK1031" s="118"/>
      <c r="AL1031" s="118"/>
      <c r="AM1031" s="118"/>
      <c r="AN1031" s="118"/>
      <c r="AO1031" s="118"/>
      <c r="AP1031" s="118"/>
      <c r="AQ1031" s="118"/>
      <c r="AR1031" s="118"/>
      <c r="AS1031" s="118"/>
      <c r="AT1031" s="118"/>
      <c r="AU1031" s="118"/>
      <c r="AV1031" s="118"/>
      <c r="AW1031" s="118"/>
      <c r="AX1031" s="118"/>
      <c r="AY1031" s="118"/>
      <c r="AZ1031" s="118"/>
      <c r="BA1031" s="118"/>
      <c r="BB1031" s="118"/>
      <c r="BC1031" s="118"/>
      <c r="BD1031" s="118"/>
      <c r="BE1031" s="118"/>
      <c r="BF1031" s="118"/>
      <c r="BG1031" s="118"/>
      <c r="BH1031" s="118"/>
      <c r="BI1031" s="118"/>
      <c r="BJ1031" s="118"/>
      <c r="BK1031" s="118"/>
      <c r="BL1031" s="118"/>
      <c r="BM1031" s="118"/>
      <c r="BN1031" s="118"/>
      <c r="BO1031" s="118"/>
      <c r="BP1031" s="118"/>
      <c r="BQ1031" s="118"/>
      <c r="BR1031" s="118"/>
      <c r="BS1031" s="118"/>
      <c r="BT1031" s="118"/>
      <c r="BU1031" s="118"/>
      <c r="BV1031" s="118"/>
      <c r="BW1031" s="118"/>
      <c r="BX1031" s="118"/>
      <c r="BY1031" s="118"/>
      <c r="BZ1031" s="118"/>
      <c r="CA1031" s="118"/>
      <c r="CB1031" s="118"/>
      <c r="CC1031" s="118"/>
      <c r="CD1031" s="118"/>
      <c r="CE1031" s="118"/>
      <c r="CF1031" s="118"/>
      <c r="CG1031" s="118"/>
      <c r="CH1031" s="118"/>
      <c r="CI1031" s="118"/>
      <c r="CJ1031" s="118"/>
      <c r="CK1031" s="118"/>
      <c r="CL1031" s="118"/>
      <c r="CM1031" s="118"/>
      <c r="CN1031" s="118"/>
      <c r="CO1031" s="118"/>
      <c r="CP1031" s="118"/>
      <c r="CQ1031" s="118"/>
      <c r="CR1031" s="118"/>
      <c r="CS1031" s="118"/>
      <c r="CT1031" s="118"/>
      <c r="CU1031" s="118"/>
      <c r="CV1031" s="118"/>
      <c r="CW1031" s="118"/>
      <c r="CX1031" s="118"/>
      <c r="CY1031" s="118"/>
      <c r="CZ1031" s="118"/>
      <c r="DA1031" s="118"/>
      <c r="DB1031" s="118"/>
      <c r="DC1031" s="118"/>
      <c r="DD1031" s="118"/>
      <c r="DE1031" s="118"/>
      <c r="DF1031" s="118"/>
      <c r="DG1031" s="118"/>
      <c r="DH1031" s="118"/>
      <c r="DI1031" s="118"/>
      <c r="DJ1031" s="118"/>
      <c r="DK1031" s="118"/>
      <c r="DL1031" s="118"/>
      <c r="DM1031" s="118"/>
      <c r="DN1031" s="118"/>
      <c r="DO1031" s="118"/>
      <c r="DP1031" s="118"/>
      <c r="DQ1031" s="118"/>
      <c r="DR1031" s="118"/>
      <c r="DS1031" s="118"/>
      <c r="DT1031" s="118"/>
      <c r="DU1031" s="118"/>
      <c r="DV1031" s="118"/>
      <c r="DW1031" s="118"/>
      <c r="DX1031" s="118"/>
      <c r="DY1031" s="118"/>
      <c r="DZ1031" s="118"/>
      <c r="EA1031" s="118"/>
      <c r="EB1031" s="118"/>
      <c r="EC1031" s="118"/>
      <c r="ED1031" s="118"/>
      <c r="EE1031" s="118"/>
      <c r="EF1031" s="118"/>
      <c r="EG1031" s="118"/>
      <c r="EH1031" s="118"/>
      <c r="EI1031" s="118"/>
      <c r="EJ1031" s="118"/>
      <c r="EK1031" s="118"/>
      <c r="EL1031" s="118"/>
      <c r="EM1031" s="118"/>
      <c r="EN1031" s="118"/>
      <c r="EO1031" s="118"/>
      <c r="EP1031" s="118"/>
      <c r="EQ1031" s="118"/>
      <c r="ER1031" s="118"/>
      <c r="ES1031" s="118"/>
      <c r="ET1031" s="118"/>
      <c r="EU1031" s="118"/>
      <c r="EV1031" s="118"/>
      <c r="EW1031" s="118"/>
      <c r="EX1031" s="118"/>
      <c r="EY1031" s="118"/>
      <c r="EZ1031" s="118"/>
      <c r="FA1031" s="118"/>
      <c r="FB1031" s="118"/>
      <c r="FC1031" s="118"/>
      <c r="FD1031" s="118"/>
      <c r="FE1031" s="118"/>
      <c r="FF1031" s="118"/>
      <c r="FG1031" s="118"/>
      <c r="FH1031" s="118"/>
      <c r="FI1031" s="118"/>
      <c r="FJ1031" s="118"/>
      <c r="FK1031" s="118"/>
      <c r="FL1031" s="118"/>
      <c r="FM1031" s="118"/>
      <c r="FN1031" s="118"/>
      <c r="FO1031" s="118"/>
      <c r="FP1031" s="118"/>
      <c r="FQ1031" s="118"/>
    </row>
    <row r="1032" spans="1:173" s="123" customFormat="1" ht="16.5">
      <c r="A1032" s="93" t="s">
        <v>800</v>
      </c>
      <c r="B1032" s="121"/>
      <c r="C1032" s="121"/>
      <c r="D1032" s="121"/>
      <c r="E1032" s="121"/>
      <c r="F1032" s="121"/>
      <c r="G1032" s="122">
        <f>SUM(G16,G153,G176,G250,G268,G402,G499,G539,G633,G705,G778,G811,G838,G1018)</f>
        <v>5997705.400000001</v>
      </c>
      <c r="H1032" s="122">
        <f>SUM(H16,H153,H176,H250,H268,H402,H499,H539,H633,H705,H778,H811,H838,H1018)</f>
        <v>5170957.8</v>
      </c>
      <c r="I1032" s="122">
        <f>SUM(I16,I153,I176,I250,I268,I402,I499,I539,I633,I705,I778,I811,I838,I1018)</f>
        <v>4832155.399999999</v>
      </c>
      <c r="J1032" s="117"/>
      <c r="K1032" s="118"/>
      <c r="L1032" s="118"/>
      <c r="M1032" s="119"/>
      <c r="N1032" s="118"/>
      <c r="O1032" s="118"/>
      <c r="P1032" s="118"/>
      <c r="Q1032" s="118"/>
      <c r="R1032" s="118"/>
      <c r="S1032" s="118"/>
      <c r="T1032" s="118"/>
      <c r="U1032" s="118"/>
      <c r="V1032" s="118"/>
      <c r="W1032" s="118"/>
      <c r="X1032" s="118"/>
      <c r="Y1032" s="118"/>
      <c r="Z1032" s="118"/>
      <c r="AA1032" s="118"/>
      <c r="AB1032" s="118"/>
      <c r="AC1032" s="118"/>
      <c r="AD1032" s="118"/>
      <c r="AE1032" s="118"/>
      <c r="AF1032" s="118"/>
      <c r="AG1032" s="118"/>
      <c r="AH1032" s="118"/>
      <c r="AI1032" s="118"/>
      <c r="AJ1032" s="118"/>
      <c r="AK1032" s="118"/>
      <c r="AL1032" s="118"/>
      <c r="AM1032" s="118"/>
      <c r="AN1032" s="118"/>
      <c r="AO1032" s="118"/>
      <c r="AP1032" s="118"/>
      <c r="AQ1032" s="118"/>
      <c r="AR1032" s="118"/>
      <c r="AS1032" s="118"/>
      <c r="AT1032" s="118"/>
      <c r="AU1032" s="118"/>
      <c r="AV1032" s="118"/>
      <c r="AW1032" s="118"/>
      <c r="AX1032" s="118"/>
      <c r="AY1032" s="118"/>
      <c r="AZ1032" s="118"/>
      <c r="BA1032" s="118"/>
      <c r="BB1032" s="118"/>
      <c r="BC1032" s="118"/>
      <c r="BD1032" s="118"/>
      <c r="BE1032" s="118"/>
      <c r="BF1032" s="118"/>
      <c r="BG1032" s="118"/>
      <c r="BH1032" s="118"/>
      <c r="BI1032" s="118"/>
      <c r="BJ1032" s="118"/>
      <c r="BK1032" s="118"/>
      <c r="BL1032" s="118"/>
      <c r="BM1032" s="118"/>
      <c r="BN1032" s="118"/>
      <c r="BO1032" s="118"/>
      <c r="BP1032" s="118"/>
      <c r="BQ1032" s="118"/>
      <c r="BR1032" s="118"/>
      <c r="BS1032" s="118"/>
      <c r="BT1032" s="118"/>
      <c r="BU1032" s="118"/>
      <c r="BV1032" s="118"/>
      <c r="BW1032" s="118"/>
      <c r="BX1032" s="118"/>
      <c r="BY1032" s="118"/>
      <c r="BZ1032" s="118"/>
      <c r="CA1032" s="118"/>
      <c r="CB1032" s="118"/>
      <c r="CC1032" s="118"/>
      <c r="CD1032" s="118"/>
      <c r="CE1032" s="118"/>
      <c r="CF1032" s="118"/>
      <c r="CG1032" s="118"/>
      <c r="CH1032" s="118"/>
      <c r="CI1032" s="118"/>
      <c r="CJ1032" s="118"/>
      <c r="CK1032" s="118"/>
      <c r="CL1032" s="118"/>
      <c r="CM1032" s="118"/>
      <c r="CN1032" s="118"/>
      <c r="CO1032" s="118"/>
      <c r="CP1032" s="118"/>
      <c r="CQ1032" s="118"/>
      <c r="CR1032" s="118"/>
      <c r="CS1032" s="118"/>
      <c r="CT1032" s="118"/>
      <c r="CU1032" s="118"/>
      <c r="CV1032" s="118"/>
      <c r="CW1032" s="118"/>
      <c r="CX1032" s="118"/>
      <c r="CY1032" s="118"/>
      <c r="CZ1032" s="118"/>
      <c r="DA1032" s="118"/>
      <c r="DB1032" s="118"/>
      <c r="DC1032" s="118"/>
      <c r="DD1032" s="118"/>
      <c r="DE1032" s="118"/>
      <c r="DF1032" s="118"/>
      <c r="DG1032" s="118"/>
      <c r="DH1032" s="118"/>
      <c r="DI1032" s="118"/>
      <c r="DJ1032" s="118"/>
      <c r="DK1032" s="118"/>
      <c r="DL1032" s="118"/>
      <c r="DM1032" s="118"/>
      <c r="DN1032" s="118"/>
      <c r="DO1032" s="118"/>
      <c r="DP1032" s="118"/>
      <c r="DQ1032" s="118"/>
      <c r="DR1032" s="118"/>
      <c r="DS1032" s="118"/>
      <c r="DT1032" s="118"/>
      <c r="DU1032" s="118"/>
      <c r="DV1032" s="118"/>
      <c r="DW1032" s="118"/>
      <c r="DX1032" s="118"/>
      <c r="DY1032" s="118"/>
      <c r="DZ1032" s="118"/>
      <c r="EA1032" s="118"/>
      <c r="EB1032" s="118"/>
      <c r="EC1032" s="118"/>
      <c r="ED1032" s="118"/>
      <c r="EE1032" s="118"/>
      <c r="EF1032" s="118"/>
      <c r="EG1032" s="118"/>
      <c r="EH1032" s="118"/>
      <c r="EI1032" s="118"/>
      <c r="EJ1032" s="118"/>
      <c r="EK1032" s="118"/>
      <c r="EL1032" s="118"/>
      <c r="EM1032" s="118"/>
      <c r="EN1032" s="118"/>
      <c r="EO1032" s="118"/>
      <c r="EP1032" s="118"/>
      <c r="EQ1032" s="118"/>
      <c r="ER1032" s="118"/>
      <c r="ES1032" s="118"/>
      <c r="ET1032" s="118"/>
      <c r="EU1032" s="118"/>
      <c r="EV1032" s="118"/>
      <c r="EW1032" s="118"/>
      <c r="EX1032" s="118"/>
      <c r="EY1032" s="118"/>
      <c r="EZ1032" s="118"/>
      <c r="FA1032" s="118"/>
      <c r="FB1032" s="118"/>
      <c r="FC1032" s="118"/>
      <c r="FD1032" s="118"/>
      <c r="FE1032" s="118"/>
      <c r="FF1032" s="118"/>
      <c r="FG1032" s="118"/>
      <c r="FH1032" s="118"/>
      <c r="FI1032" s="118"/>
      <c r="FJ1032" s="118"/>
      <c r="FK1032" s="118"/>
      <c r="FL1032" s="118"/>
      <c r="FM1032" s="118"/>
      <c r="FN1032" s="118"/>
      <c r="FO1032" s="118"/>
      <c r="FP1032" s="118"/>
      <c r="FQ1032" s="118"/>
    </row>
    <row r="1033" spans="1:13" s="118" customFormat="1" ht="16.5">
      <c r="A1033" s="93" t="s">
        <v>23</v>
      </c>
      <c r="B1033" s="121"/>
      <c r="C1033" s="121"/>
      <c r="D1033" s="121"/>
      <c r="E1033" s="121"/>
      <c r="F1033" s="121"/>
      <c r="G1033" s="122"/>
      <c r="H1033" s="122">
        <f>1107349.7+11076.2+46.1</f>
        <v>1118472</v>
      </c>
      <c r="I1033" s="122">
        <f>1129472.6+4148.3+46.1</f>
        <v>1133667.0000000002</v>
      </c>
      <c r="J1033" s="117"/>
      <c r="M1033" s="119"/>
    </row>
    <row r="1034" spans="1:13" s="118" customFormat="1" ht="16.5">
      <c r="A1034" s="93" t="s">
        <v>24</v>
      </c>
      <c r="B1034" s="121"/>
      <c r="C1034" s="121"/>
      <c r="D1034" s="121"/>
      <c r="E1034" s="121"/>
      <c r="F1034" s="121"/>
      <c r="G1034" s="122"/>
      <c r="H1034" s="122">
        <f>H1032+H1033</f>
        <v>6289429.8</v>
      </c>
      <c r="I1034" s="122">
        <f>I1032+I1033</f>
        <v>5965822.399999999</v>
      </c>
      <c r="J1034" s="117"/>
      <c r="M1034" s="119"/>
    </row>
    <row r="1035" spans="2:173" s="90" customFormat="1" ht="12.75">
      <c r="B1035" s="124"/>
      <c r="C1035" s="124"/>
      <c r="D1035" s="124"/>
      <c r="E1035" s="124"/>
      <c r="F1035" s="124"/>
      <c r="G1035" s="125"/>
      <c r="H1035" s="125"/>
      <c r="I1035" s="125"/>
      <c r="J1035" s="75"/>
      <c r="K1035" s="68"/>
      <c r="L1035" s="68"/>
      <c r="M1035" s="69"/>
      <c r="N1035" s="68"/>
      <c r="O1035" s="68"/>
      <c r="P1035" s="68"/>
      <c r="Q1035" s="68"/>
      <c r="R1035" s="68"/>
      <c r="S1035" s="68"/>
      <c r="T1035" s="68"/>
      <c r="U1035" s="68"/>
      <c r="V1035" s="68"/>
      <c r="W1035" s="68"/>
      <c r="X1035" s="68"/>
      <c r="Y1035" s="68"/>
      <c r="Z1035" s="68"/>
      <c r="AA1035" s="68"/>
      <c r="AB1035" s="68"/>
      <c r="AC1035" s="68"/>
      <c r="AD1035" s="68"/>
      <c r="AE1035" s="68"/>
      <c r="AF1035" s="68"/>
      <c r="AG1035" s="68"/>
      <c r="AH1035" s="68"/>
      <c r="AI1035" s="68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  <c r="BH1035" s="68"/>
      <c r="BI1035" s="68"/>
      <c r="BJ1035" s="68"/>
      <c r="BK1035" s="68"/>
      <c r="BL1035" s="68"/>
      <c r="BM1035" s="68"/>
      <c r="BN1035" s="68"/>
      <c r="BO1035" s="68"/>
      <c r="BP1035" s="68"/>
      <c r="BQ1035" s="68"/>
      <c r="BR1035" s="68"/>
      <c r="BS1035" s="68"/>
      <c r="BT1035" s="68"/>
      <c r="BU1035" s="68"/>
      <c r="BV1035" s="68"/>
      <c r="BW1035" s="68"/>
      <c r="BX1035" s="68"/>
      <c r="BY1035" s="68"/>
      <c r="BZ1035" s="68"/>
      <c r="CA1035" s="68"/>
      <c r="CB1035" s="68"/>
      <c r="CC1035" s="68"/>
      <c r="CD1035" s="68"/>
      <c r="CE1035" s="68"/>
      <c r="CF1035" s="68"/>
      <c r="CG1035" s="68"/>
      <c r="CH1035" s="68"/>
      <c r="CI1035" s="68"/>
      <c r="CJ1035" s="68"/>
      <c r="CK1035" s="68"/>
      <c r="CL1035" s="68"/>
      <c r="CM1035" s="68"/>
      <c r="CN1035" s="68"/>
      <c r="CO1035" s="68"/>
      <c r="CP1035" s="68"/>
      <c r="CQ1035" s="68"/>
      <c r="CR1035" s="68"/>
      <c r="CS1035" s="68"/>
      <c r="CT1035" s="68"/>
      <c r="CU1035" s="68"/>
      <c r="CV1035" s="68"/>
      <c r="CW1035" s="68"/>
      <c r="CX1035" s="68"/>
      <c r="CY1035" s="68"/>
      <c r="CZ1035" s="68"/>
      <c r="DA1035" s="68"/>
      <c r="DB1035" s="68"/>
      <c r="DC1035" s="68"/>
      <c r="DD1035" s="68"/>
      <c r="DE1035" s="68"/>
      <c r="DF1035" s="68"/>
      <c r="DG1035" s="68"/>
      <c r="DH1035" s="68"/>
      <c r="DI1035" s="68"/>
      <c r="DJ1035" s="68"/>
      <c r="DK1035" s="68"/>
      <c r="DL1035" s="68"/>
      <c r="DM1035" s="68"/>
      <c r="DN1035" s="68"/>
      <c r="DO1035" s="68"/>
      <c r="DP1035" s="68"/>
      <c r="DQ1035" s="68"/>
      <c r="DR1035" s="68"/>
      <c r="DS1035" s="68"/>
      <c r="DT1035" s="68"/>
      <c r="DU1035" s="68"/>
      <c r="DV1035" s="68"/>
      <c r="DW1035" s="68"/>
      <c r="DX1035" s="68"/>
      <c r="DY1035" s="68"/>
      <c r="DZ1035" s="68"/>
      <c r="EA1035" s="68"/>
      <c r="EB1035" s="68"/>
      <c r="EC1035" s="68"/>
      <c r="ED1035" s="68"/>
      <c r="EE1035" s="68"/>
      <c r="EF1035" s="68"/>
      <c r="EG1035" s="68"/>
      <c r="EH1035" s="68"/>
      <c r="EI1035" s="68"/>
      <c r="EJ1035" s="68"/>
      <c r="EK1035" s="68"/>
      <c r="EL1035" s="68"/>
      <c r="EM1035" s="68"/>
      <c r="EN1035" s="68"/>
      <c r="EO1035" s="68"/>
      <c r="EP1035" s="68"/>
      <c r="EQ1035" s="68"/>
      <c r="ER1035" s="68"/>
      <c r="ES1035" s="68"/>
      <c r="ET1035" s="68"/>
      <c r="EU1035" s="68"/>
      <c r="EV1035" s="68"/>
      <c r="EW1035" s="68"/>
      <c r="EX1035" s="68"/>
      <c r="EY1035" s="68"/>
      <c r="EZ1035" s="68"/>
      <c r="FA1035" s="68"/>
      <c r="FB1035" s="68"/>
      <c r="FC1035" s="68"/>
      <c r="FD1035" s="68"/>
      <c r="FE1035" s="68"/>
      <c r="FF1035" s="68"/>
      <c r="FG1035" s="68"/>
      <c r="FH1035" s="68"/>
      <c r="FI1035" s="68"/>
      <c r="FJ1035" s="68"/>
      <c r="FK1035" s="68"/>
      <c r="FL1035" s="68"/>
      <c r="FM1035" s="68"/>
      <c r="FN1035" s="68"/>
      <c r="FO1035" s="68"/>
      <c r="FP1035" s="68"/>
      <c r="FQ1035" s="68"/>
    </row>
    <row r="1036" spans="1:29" ht="32.25" customHeight="1">
      <c r="A1036" s="68"/>
      <c r="B1036" s="126"/>
      <c r="C1036" s="126"/>
      <c r="D1036" s="126"/>
      <c r="E1036" s="126"/>
      <c r="F1036" s="127"/>
      <c r="G1036" s="128">
        <f>3928410.6+14352.6</f>
        <v>3942763.2</v>
      </c>
      <c r="H1036" s="128">
        <v>3019915.5</v>
      </c>
      <c r="I1036" s="128">
        <v>3096997.6</v>
      </c>
      <c r="J1036" s="75"/>
      <c r="K1036" s="75"/>
      <c r="L1036" s="68"/>
      <c r="M1036" s="69"/>
      <c r="N1036" s="68"/>
      <c r="O1036" s="68"/>
      <c r="P1036" s="68"/>
      <c r="Q1036" s="68"/>
      <c r="R1036" s="68"/>
      <c r="S1036" s="68"/>
      <c r="T1036" s="68"/>
      <c r="U1036" s="68"/>
      <c r="V1036" s="68"/>
      <c r="W1036" s="68"/>
      <c r="X1036" s="68"/>
      <c r="Y1036" s="68"/>
      <c r="Z1036" s="68"/>
      <c r="AA1036" s="68"/>
      <c r="AB1036" s="68"/>
      <c r="AC1036" s="68"/>
    </row>
    <row r="1037" spans="1:29" ht="12.75">
      <c r="A1037" s="68"/>
      <c r="B1037" s="126"/>
      <c r="C1037" s="126"/>
      <c r="D1037" s="126"/>
      <c r="E1037" s="126"/>
      <c r="F1037" s="126" t="s">
        <v>309</v>
      </c>
      <c r="G1037" s="69">
        <f>12000+543558.9+10000+9163.1+546685.8+20923+168590+6423.6+267004.5+938.8+300+363+23212.2+37262.6+41790+2472.5+14347.1+7905.5+87813+1418.3+700+804.5+5649.5+5305+4179.7+6962.5+1455+2212.9+17318.3+75+168+4880.8+323399.6+1110087.1+244.8+255234.1+18005.1+26875+287230.9+1428.6+32768.4+300+7742.6+921.8+11914.3+375.2+14352.6</f>
        <v>3942763.2</v>
      </c>
      <c r="H1037" s="69">
        <f>15000+522760.9+10000+5655.7+6500+259500.4+981.4+300+23339.6+34713+33992.6+177.5+7923.5+53225+844.8+990+2852.5+4407.5+5740+4732.4+1064.7+2331+7740.3+75+4980.4+252542.2+1116998.3+101.2+238473.2+50000+272917.5+1428.6+30141.7+17769.3+17690+33.6+11991.7-46.1</f>
        <v>3019869.400000001</v>
      </c>
      <c r="I1037" s="69">
        <f>15000+550418.5+10000+5078.9+6500+260022.8+1023.7+300+23440.1+35020.4+34376.9+177.5+8120.9+54975.6+882.8+990+6212+6570+8271.6+1130+2774+8208.3+5082.4+262569.4+1146110.9+241871.7+50000+280867.5+1428.6+30286+19082.4+3932+320+3961+11991.7-46.1</f>
        <v>3096951.5000000005</v>
      </c>
      <c r="J1037" s="75"/>
      <c r="K1037" s="75"/>
      <c r="L1037" s="68"/>
      <c r="M1037" s="69"/>
      <c r="N1037" s="68"/>
      <c r="O1037" s="68"/>
      <c r="P1037" s="68"/>
      <c r="Q1037" s="68"/>
      <c r="R1037" s="68"/>
      <c r="S1037" s="68"/>
      <c r="T1037" s="68"/>
      <c r="U1037" s="68"/>
      <c r="V1037" s="68"/>
      <c r="W1037" s="68"/>
      <c r="X1037" s="68"/>
      <c r="Y1037" s="68"/>
      <c r="Z1037" s="68"/>
      <c r="AA1037" s="68"/>
      <c r="AB1037" s="68"/>
      <c r="AC1037" s="68"/>
    </row>
    <row r="1038" spans="1:29" ht="12.75">
      <c r="A1038" s="68"/>
      <c r="B1038" s="126"/>
      <c r="C1038" s="126"/>
      <c r="D1038" s="126"/>
      <c r="E1038" s="126"/>
      <c r="F1038" s="126" t="s">
        <v>220</v>
      </c>
      <c r="G1038" s="69">
        <f>1627.2+11364.9+2500+23000.4+3383+100000+167457.9+200+208257.8+35902+645850.8+123855.7+6391.3+1743.7+529777.6+356.4+19131+47937+2573+2744.6+70409.6+43799.9+3493.2+1976.8+838.2+370.2</f>
        <v>2054942.1999999997</v>
      </c>
      <c r="H1038" s="69">
        <f>1757+8282.2+2700+26065.4+190+100000+430786.4+221757.3+34106.9+515090.6+907+117659.3+6071.6+1656.5+503288.7+338.6+19131+47937+2727.4+2607.4+62246.4+41609.9+3318.5+796.3+57</f>
        <v>2151088.4</v>
      </c>
      <c r="I1038" s="69">
        <f>1545.3+8282.2+3882.4+385+100000+16653.6+550+235136.2+34106.9+514875.4+6599.9+117659.3+6071.6+1656.5+503288.7+338.6+19131+47937+2874.7+2607.4+62246.4+41609.9+3318.5+3363.6+796.3+287.5</f>
        <v>1735203.9</v>
      </c>
      <c r="J1038" s="68"/>
      <c r="K1038" s="68"/>
      <c r="L1038" s="68"/>
      <c r="M1038" s="69"/>
      <c r="N1038" s="68"/>
      <c r="O1038" s="68"/>
      <c r="P1038" s="68"/>
      <c r="Q1038" s="68"/>
      <c r="R1038" s="68"/>
      <c r="S1038" s="68"/>
      <c r="T1038" s="68"/>
      <c r="U1038" s="68"/>
      <c r="V1038" s="68"/>
      <c r="W1038" s="68"/>
      <c r="X1038" s="68"/>
      <c r="Y1038" s="68"/>
      <c r="Z1038" s="68"/>
      <c r="AA1038" s="68"/>
      <c r="AB1038" s="68"/>
      <c r="AC1038" s="68"/>
    </row>
    <row r="1039" spans="1:29" ht="12.75">
      <c r="A1039" s="68"/>
      <c r="B1039" s="126"/>
      <c r="C1039" s="126"/>
      <c r="D1039" s="126"/>
      <c r="E1039" s="126"/>
      <c r="F1039" s="126" t="s">
        <v>125</v>
      </c>
      <c r="G1039" s="69">
        <f>G1037-G1032+G1038</f>
        <v>0</v>
      </c>
      <c r="H1039" s="69">
        <f>H1037-H1032+H1038</f>
        <v>0</v>
      </c>
      <c r="I1039" s="69">
        <f>I1037-I1032+I1038</f>
        <v>0</v>
      </c>
      <c r="J1039" s="68"/>
      <c r="K1039" s="68"/>
      <c r="L1039" s="68"/>
      <c r="M1039" s="69"/>
      <c r="N1039" s="68"/>
      <c r="O1039" s="68"/>
      <c r="P1039" s="68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</row>
    <row r="1040" spans="1:29" ht="12.75">
      <c r="A1040" s="68"/>
      <c r="B1040" s="126"/>
      <c r="C1040" s="126"/>
      <c r="D1040" s="126"/>
      <c r="E1040" s="126"/>
      <c r="F1040" s="126"/>
      <c r="G1040" s="69"/>
      <c r="H1040" s="69"/>
      <c r="I1040" s="69"/>
      <c r="J1040" s="68"/>
      <c r="K1040" s="68"/>
      <c r="L1040" s="68"/>
      <c r="M1040" s="69"/>
      <c r="N1040" s="68"/>
      <c r="O1040" s="68"/>
      <c r="P1040" s="68"/>
      <c r="Q1040" s="68"/>
      <c r="R1040" s="68"/>
      <c r="S1040" s="68"/>
      <c r="T1040" s="68"/>
      <c r="U1040" s="68"/>
      <c r="V1040" s="68"/>
      <c r="W1040" s="68"/>
      <c r="X1040" s="68"/>
      <c r="Y1040" s="68"/>
      <c r="Z1040" s="68"/>
      <c r="AA1040" s="68"/>
      <c r="AB1040" s="68"/>
      <c r="AC1040" s="68"/>
    </row>
    <row r="1041" spans="1:29" ht="12.75">
      <c r="A1041" s="68"/>
      <c r="B1041" s="126"/>
      <c r="C1041" s="126"/>
      <c r="D1041" s="126"/>
      <c r="E1041" s="126"/>
      <c r="F1041" s="126"/>
      <c r="G1041" s="69"/>
      <c r="H1041" s="69"/>
      <c r="I1041" s="69"/>
      <c r="J1041" s="68"/>
      <c r="K1041" s="68"/>
      <c r="L1041" s="68"/>
      <c r="M1041" s="69"/>
      <c r="N1041" s="68"/>
      <c r="O1041" s="68"/>
      <c r="P1041" s="68"/>
      <c r="Q1041" s="68"/>
      <c r="R1041" s="68"/>
      <c r="S1041" s="68"/>
      <c r="T1041" s="68"/>
      <c r="U1041" s="68"/>
      <c r="V1041" s="68"/>
      <c r="W1041" s="68"/>
      <c r="X1041" s="68"/>
      <c r="Y1041" s="68"/>
      <c r="Z1041" s="68"/>
      <c r="AA1041" s="68"/>
      <c r="AB1041" s="68"/>
      <c r="AC1041" s="68"/>
    </row>
    <row r="1042" spans="1:29" ht="12.75">
      <c r="A1042" s="68"/>
      <c r="B1042" s="126"/>
      <c r="C1042" s="126"/>
      <c r="D1042" s="126"/>
      <c r="E1042" s="126"/>
      <c r="F1042" s="126"/>
      <c r="G1042" s="69"/>
      <c r="H1042" s="69"/>
      <c r="I1042" s="69"/>
      <c r="J1042" s="68"/>
      <c r="K1042" s="68"/>
      <c r="L1042" s="68"/>
      <c r="M1042" s="69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  <c r="Y1042" s="68"/>
      <c r="Z1042" s="68"/>
      <c r="AA1042" s="68"/>
      <c r="AB1042" s="68"/>
      <c r="AC1042" s="68"/>
    </row>
    <row r="1043" spans="1:29" ht="12.75">
      <c r="A1043" s="68"/>
      <c r="B1043" s="126"/>
      <c r="C1043" s="126"/>
      <c r="D1043" s="126"/>
      <c r="E1043" s="126"/>
      <c r="F1043" s="126" t="s">
        <v>124</v>
      </c>
      <c r="G1043" s="69">
        <f>3928410.6</f>
        <v>3928410.6</v>
      </c>
      <c r="H1043" s="69">
        <f>'[1]расшифровка прогноза 2011'!$U$265</f>
        <v>3019869.400000001</v>
      </c>
      <c r="I1043" s="69">
        <f>'[1]расшифровка прогноза 2011'!$V$265</f>
        <v>3096951.5000000005</v>
      </c>
      <c r="J1043" s="68"/>
      <c r="K1043" s="68"/>
      <c r="L1043" s="68"/>
      <c r="M1043" s="69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</row>
    <row r="1044" spans="1:29" ht="12.75">
      <c r="A1044" s="68"/>
      <c r="B1044" s="126"/>
      <c r="C1044" s="126"/>
      <c r="D1044" s="126"/>
      <c r="E1044" s="126"/>
      <c r="F1044" s="126" t="s">
        <v>125</v>
      </c>
      <c r="G1044" s="69">
        <f>G1037-G1043</f>
        <v>14352.600000000093</v>
      </c>
      <c r="H1044" s="69">
        <f>H1037-H1043</f>
        <v>0</v>
      </c>
      <c r="I1044" s="69">
        <f>I1037-I1043</f>
        <v>0</v>
      </c>
      <c r="J1044" s="68"/>
      <c r="K1044" s="68"/>
      <c r="L1044" s="68"/>
      <c r="M1044" s="69"/>
      <c r="N1044" s="68"/>
      <c r="O1044" s="68"/>
      <c r="P1044" s="68"/>
      <c r="Q1044" s="68"/>
      <c r="R1044" s="68"/>
      <c r="S1044" s="68"/>
      <c r="T1044" s="68"/>
      <c r="U1044" s="68"/>
      <c r="V1044" s="68"/>
      <c r="W1044" s="68"/>
      <c r="X1044" s="68"/>
      <c r="Y1044" s="68"/>
      <c r="Z1044" s="68"/>
      <c r="AA1044" s="68"/>
      <c r="AB1044" s="68"/>
      <c r="AC1044" s="68"/>
    </row>
    <row r="1045" spans="1:29" ht="12.75">
      <c r="A1045" s="68"/>
      <c r="B1045" s="126"/>
      <c r="C1045" s="126"/>
      <c r="D1045" s="126"/>
      <c r="E1045" s="126"/>
      <c r="F1045" s="126"/>
      <c r="G1045" s="69"/>
      <c r="H1045" s="69"/>
      <c r="I1045" s="69"/>
      <c r="J1045" s="68"/>
      <c r="K1045" s="68"/>
      <c r="L1045" s="68"/>
      <c r="M1045" s="69"/>
      <c r="N1045" s="68"/>
      <c r="O1045" s="68"/>
      <c r="P1045" s="68"/>
      <c r="Q1045" s="68"/>
      <c r="R1045" s="68"/>
      <c r="S1045" s="68"/>
      <c r="T1045" s="68"/>
      <c r="U1045" s="68"/>
      <c r="V1045" s="68"/>
      <c r="W1045" s="68"/>
      <c r="X1045" s="68"/>
      <c r="Y1045" s="68"/>
      <c r="Z1045" s="68"/>
      <c r="AA1045" s="68"/>
      <c r="AB1045" s="68"/>
      <c r="AC1045" s="68"/>
    </row>
    <row r="1046" spans="1:29" ht="12.75">
      <c r="A1046" s="68"/>
      <c r="B1046" s="126"/>
      <c r="C1046" s="126"/>
      <c r="D1046" s="126"/>
      <c r="E1046" s="126"/>
      <c r="F1046" s="126"/>
      <c r="G1046" s="69">
        <f>2054942.2-G1038</f>
        <v>0</v>
      </c>
      <c r="H1046" s="69">
        <f>2151088.4-H1038</f>
        <v>0</v>
      </c>
      <c r="I1046" s="69">
        <f>1735203.9-I1038</f>
        <v>0</v>
      </c>
      <c r="J1046" s="68"/>
      <c r="K1046" s="68"/>
      <c r="L1046" s="68"/>
      <c r="M1046" s="69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68"/>
      <c r="Z1046" s="68"/>
      <c r="AA1046" s="68"/>
      <c r="AB1046" s="68"/>
      <c r="AC1046" s="68"/>
    </row>
    <row r="1047" spans="10:29" ht="12.75">
      <c r="J1047" s="68"/>
      <c r="K1047" s="68"/>
      <c r="L1047" s="68"/>
      <c r="M1047" s="69"/>
      <c r="N1047" s="68"/>
      <c r="O1047" s="68"/>
      <c r="P1047" s="68"/>
      <c r="Q1047" s="68"/>
      <c r="R1047" s="68"/>
      <c r="S1047" s="68"/>
      <c r="T1047" s="68"/>
      <c r="U1047" s="68"/>
      <c r="V1047" s="68"/>
      <c r="W1047" s="68"/>
      <c r="X1047" s="68"/>
      <c r="Y1047" s="68"/>
      <c r="Z1047" s="68"/>
      <c r="AA1047" s="68"/>
      <c r="AB1047" s="68"/>
      <c r="AC1047" s="68"/>
    </row>
    <row r="1048" spans="7:9" ht="12.75">
      <c r="G1048" s="65">
        <v>5997705.4</v>
      </c>
      <c r="H1048" s="65">
        <v>5170957.8</v>
      </c>
      <c r="I1048" s="65">
        <v>4832155.4</v>
      </c>
    </row>
    <row r="1049" spans="8:9" ht="12.75">
      <c r="H1049" s="65">
        <v>1118472</v>
      </c>
      <c r="I1049" s="65">
        <v>1133667</v>
      </c>
    </row>
    <row r="1050" spans="8:9" ht="12.75">
      <c r="H1050" s="65">
        <v>6289429.8</v>
      </c>
      <c r="I1050" s="65">
        <v>5965822.4</v>
      </c>
    </row>
    <row r="1064" spans="7:9" ht="12.75">
      <c r="G1064" s="67"/>
      <c r="H1064" s="67"/>
      <c r="I1064" s="67"/>
    </row>
  </sheetData>
  <mergeCells count="11">
    <mergeCell ref="A8:G8"/>
    <mergeCell ref="A10:I10"/>
    <mergeCell ref="A9:I9"/>
    <mergeCell ref="A11:I11"/>
    <mergeCell ref="A14:A15"/>
    <mergeCell ref="B14:B15"/>
    <mergeCell ref="C14:C15"/>
    <mergeCell ref="D14:D15"/>
    <mergeCell ref="E14:E15"/>
    <mergeCell ref="F14:F15"/>
    <mergeCell ref="H14:I14"/>
  </mergeCells>
  <printOptions/>
  <pageMargins left="1.1811023622047245" right="0.3937007874015748" top="0.68" bottom="0.3937007874015748" header="0.5118110236220472" footer="0.35433070866141736"/>
  <pageSetup fitToHeight="0" fitToWidth="1" horizontalDpi="600" verticalDpi="600" orientation="portrait" paperSize="9" scale="4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budget_05_1</cp:lastModifiedBy>
  <cp:lastPrinted>2010-11-09T06:59:00Z</cp:lastPrinted>
  <dcterms:created xsi:type="dcterms:W3CDTF">2005-10-27T10:10:18Z</dcterms:created>
  <dcterms:modified xsi:type="dcterms:W3CDTF">2010-11-09T08:02:48Z</dcterms:modified>
  <cp:category/>
  <cp:version/>
  <cp:contentType/>
  <cp:contentStatus/>
</cp:coreProperties>
</file>